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is arkuszy" sheetId="1" r:id="rId4"/>
    <sheet state="visible" name="-1-" sheetId="2" r:id="rId5"/>
    <sheet state="visible" name="-2-" sheetId="3" r:id="rId6"/>
    <sheet state="visible" name="-3-" sheetId="4" r:id="rId7"/>
    <sheet state="visible" name="-4-" sheetId="5" r:id="rId8"/>
    <sheet state="visible" name="-5-" sheetId="6" r:id="rId9"/>
    <sheet state="visible" name="-6-" sheetId="7" r:id="rId10"/>
    <sheet state="visible" name="-7-" sheetId="8" r:id="rId11"/>
    <sheet state="visible" name="-8-" sheetId="9" r:id="rId12"/>
    <sheet state="visible" name="-9-" sheetId="10" r:id="rId13"/>
  </sheets>
  <definedNames/>
  <calcPr/>
</workbook>
</file>

<file path=xl/sharedStrings.xml><?xml version="1.0" encoding="utf-8"?>
<sst xmlns="http://schemas.openxmlformats.org/spreadsheetml/2006/main" count="1096" uniqueCount="191">
  <si>
    <t>O czym w poszczególnych arkuszach.</t>
  </si>
  <si>
    <t xml:space="preserve">-1- Uzyski roczne (miesięcznie i kwartalnie) z instalacji DTS Mini-Max od 17 maj 2022 rok. </t>
  </si>
  <si>
    <t>-2- Różnice w generowanej mocy (co pół godziny) pomiędzy instalacją statyczną a DTS Mini-Max.  Nie mylić z uzyskiem.</t>
  </si>
  <si>
    <t>-3- Odległości między DTS Mini-Max z wyliczeniem powierzchni dla skali.</t>
  </si>
  <si>
    <t>-4- Do obliczenia ROE dla instalacji wolnostojących mała skala.</t>
  </si>
  <si>
    <t>-5- Do obliczenia ROE dla instalacji w skali dla  0,7  i  1  MWp</t>
  </si>
  <si>
    <t>-6- Koszt postawienia instalacji wolnostojących.</t>
  </si>
  <si>
    <t>-7- Koszt postawienia instalacji w skali dla  0,7  i  1  MWp</t>
  </si>
  <si>
    <t>-8- Finansowanie 50 kWp</t>
  </si>
  <si>
    <t>-9- Finansowanie Farm</t>
  </si>
  <si>
    <t>Uzyski z instalacji w roku</t>
  </si>
  <si>
    <t>2 0 2 2</t>
  </si>
  <si>
    <t>Miesiąc</t>
  </si>
  <si>
    <t xml:space="preserve">Instalacja </t>
  </si>
  <si>
    <t>Instalacja</t>
  </si>
  <si>
    <t>stała</t>
  </si>
  <si>
    <t>tracker</t>
  </si>
  <si>
    <t>panel zw.</t>
  </si>
  <si>
    <t>Bifacial</t>
  </si>
  <si>
    <t>50 kWp</t>
  </si>
  <si>
    <t>Rosnąco</t>
  </si>
  <si>
    <t>Kwartalnie</t>
  </si>
  <si>
    <t>Styczeń</t>
  </si>
  <si>
    <t xml:space="preserve">Luty </t>
  </si>
  <si>
    <t>Marzec</t>
  </si>
  <si>
    <t>I</t>
  </si>
  <si>
    <t>Kwiecień</t>
  </si>
  <si>
    <t>1-17 05 2023</t>
  </si>
  <si>
    <t>Maj</t>
  </si>
  <si>
    <t>18-31 05 2022</t>
  </si>
  <si>
    <t>II</t>
  </si>
  <si>
    <t>Czerwiec</t>
  </si>
  <si>
    <t>Lipiec</t>
  </si>
  <si>
    <t xml:space="preserve">Sierpień </t>
  </si>
  <si>
    <t>III</t>
  </si>
  <si>
    <t>Wrzesień</t>
  </si>
  <si>
    <t>Październik</t>
  </si>
  <si>
    <t>Listopad</t>
  </si>
  <si>
    <t>IV</t>
  </si>
  <si>
    <t>Grudzień</t>
  </si>
  <si>
    <t>1  Rok</t>
  </si>
  <si>
    <t xml:space="preserve"> 58  i  10 %</t>
  </si>
  <si>
    <t xml:space="preserve">Uzyski z instalacji w roku  </t>
  </si>
  <si>
    <t>2 0 2 3</t>
  </si>
  <si>
    <t>!.</t>
  </si>
  <si>
    <t>W przeliczeniu dla</t>
  </si>
  <si>
    <t>tracker M-M</t>
  </si>
  <si>
    <t>instalacji  50 kWp</t>
  </si>
  <si>
    <t>Mono</t>
  </si>
  <si>
    <t>4,80 kWp</t>
  </si>
  <si>
    <t>4,86 kWp</t>
  </si>
  <si>
    <t>4,92 kWp</t>
  </si>
  <si>
    <t>kWh z 1 kWp/rok</t>
  </si>
  <si>
    <t>2 0 2 4</t>
  </si>
  <si>
    <t>2 0 2 5</t>
  </si>
  <si>
    <t>22 kwiecień</t>
  </si>
  <si>
    <t>Wolno stojąca instalacja PV na trackerach Mini-Max 50 kWp</t>
  </si>
  <si>
    <t>50  kWp</t>
  </si>
  <si>
    <t>Różnica</t>
  </si>
  <si>
    <t>Statyczna</t>
  </si>
  <si>
    <t>Godzina</t>
  </si>
  <si>
    <t>Mini-Max</t>
  </si>
  <si>
    <t>kWh</t>
  </si>
  <si>
    <t>%</t>
  </si>
  <si>
    <t>1.100</t>
  </si>
  <si>
    <t>1.148</t>
  </si>
  <si>
    <t>1.080</t>
  </si>
  <si>
    <t>1.160</t>
  </si>
  <si>
    <t>1.457</t>
  </si>
  <si>
    <t>1.537</t>
  </si>
  <si>
    <t>1.553</t>
  </si>
  <si>
    <t>1.623</t>
  </si>
  <si>
    <t>Odległości między trackerami Mini-Max dla mocy 1 MWp.</t>
  </si>
  <si>
    <t xml:space="preserve">Wysokość </t>
  </si>
  <si>
    <t>Współcz.</t>
  </si>
  <si>
    <t>Moc kWp</t>
  </si>
  <si>
    <t>Ilość track</t>
  </si>
  <si>
    <t>Pow. M2</t>
  </si>
  <si>
    <t xml:space="preserve">Tracker </t>
  </si>
  <si>
    <t>Uzysk kWh</t>
  </si>
  <si>
    <t>Ilość hektarów</t>
  </si>
  <si>
    <t>paneli</t>
  </si>
  <si>
    <t>odległości</t>
  </si>
  <si>
    <t>mb.</t>
  </si>
  <si>
    <t>trackera</t>
  </si>
  <si>
    <t>dla 1 MWp</t>
  </si>
  <si>
    <t>na tracker</t>
  </si>
  <si>
    <t>na 1 hektar</t>
  </si>
  <si>
    <t>z 1 ha.</t>
  </si>
  <si>
    <t>Odległości między trackerami Mini-Max dla mocy 0,7 MWp.</t>
  </si>
  <si>
    <t>dla 0,7 MWp</t>
  </si>
  <si>
    <t>Do realizacji</t>
  </si>
  <si>
    <t>Do obliczenia  ROE  mała skala.</t>
  </si>
  <si>
    <t>DTS Mini Max</t>
  </si>
  <si>
    <t>kWp</t>
  </si>
  <si>
    <t>CAPEX   1 kWp</t>
  </si>
  <si>
    <t>PLN</t>
  </si>
  <si>
    <t>CAPEX  total</t>
  </si>
  <si>
    <t>W tym poza</t>
  </si>
  <si>
    <t>szczytem</t>
  </si>
  <si>
    <t>Uzysk roczny</t>
  </si>
  <si>
    <t>*</t>
  </si>
  <si>
    <t>Cena 1 kWh</t>
  </si>
  <si>
    <t>Przychody roczne</t>
  </si>
  <si>
    <t>OPEX</t>
  </si>
  <si>
    <t>EBITDA</t>
  </si>
  <si>
    <t>Amortyzacja</t>
  </si>
  <si>
    <t>Podatek</t>
  </si>
  <si>
    <t>Free Cashflow</t>
  </si>
  <si>
    <t>ROE</t>
  </si>
  <si>
    <t xml:space="preserve">* Jest to dodatkowy uzysk, w czasie gdy instalacje statyczne "jeszcze" lub "już" w ogóle nie generują energii. </t>
  </si>
  <si>
    <t xml:space="preserve">To jest wersja 50 kWp dla firm, instytucji, rolników etc. Wyższy uzysk z 1 kWp.  </t>
  </si>
  <si>
    <t xml:space="preserve">Cena za kWh jest orientacyjna. Należy wpisać ile inwestor płaci za 1 kWh łącznie z przesyłem it.  </t>
  </si>
  <si>
    <t>Do obliczenia  ROE  duża skala.</t>
  </si>
  <si>
    <t>Do obliczenia  ROE  wielka skala.</t>
  </si>
  <si>
    <t>MWp</t>
  </si>
  <si>
    <t>CAPEX  0,70  MWp</t>
  </si>
  <si>
    <t>CAPEX   1 MWp</t>
  </si>
  <si>
    <t>MWh</t>
  </si>
  <si>
    <t>Cena 1 MWh</t>
  </si>
  <si>
    <t>Zestaw trackerów  "Mini - Max"  o mocy  10,5 kWp.</t>
  </si>
  <si>
    <t>&lt;paneli na tracker</t>
  </si>
  <si>
    <t>Zmieniać tylko żółte pola !!!!</t>
  </si>
  <si>
    <t>Moc/kWp</t>
  </si>
  <si>
    <t>x współcz.</t>
  </si>
  <si>
    <t>Fakt. uzysk</t>
  </si>
  <si>
    <t>Rok/kWh</t>
  </si>
  <si>
    <t>Cena kWh</t>
  </si>
  <si>
    <t>Tracker</t>
  </si>
  <si>
    <t>Roczna wartość uzysku</t>
  </si>
  <si>
    <t>Cena instalacji</t>
  </si>
  <si>
    <t>netto PLN</t>
  </si>
  <si>
    <t>netto</t>
  </si>
  <si>
    <t>Cena za moc 1 kWp</t>
  </si>
  <si>
    <t>Cena za uzysk 1 kWh</t>
  </si>
  <si>
    <t>1 + 1</t>
  </si>
  <si>
    <t>D w a    T r a c k e r y</t>
  </si>
  <si>
    <t>Cena kW</t>
  </si>
  <si>
    <t>1 + 2</t>
  </si>
  <si>
    <t>T r z y    T r a c k e r y</t>
  </si>
  <si>
    <t>1 + 3</t>
  </si>
  <si>
    <t>C z t e r y    T r a c k e r y</t>
  </si>
  <si>
    <t>1 + 4</t>
  </si>
  <si>
    <t>P i ę ć    T r a c k e r ó w</t>
  </si>
  <si>
    <t>Koszt instalacji  1 MWp  na DTS "Mini-Max"</t>
  </si>
  <si>
    <t>moc/MWp</t>
  </si>
  <si>
    <t>współcz. uzysku</t>
  </si>
  <si>
    <t>rok/MWh</t>
  </si>
  <si>
    <t>rok/kWh</t>
  </si>
  <si>
    <t>1 MWh/PLN</t>
  </si>
  <si>
    <t xml:space="preserve">Uzysk roczny 1450 MWh, w tym 400 MWh to dodatkowy uzysk poza szczytem, gdy instalacje statyczne południe go nie generują. </t>
  </si>
  <si>
    <t>Powyżej wykres dla instalacji o tej samej mocy, pokazujący różnice w uzysku.</t>
  </si>
  <si>
    <t>Koszt instalacji   0,7  MWp  na DTS "Mini-Max"</t>
  </si>
  <si>
    <t>Uzysk roczny 1050 MWh, w tym 300 MWh to dodatkowy uzysk poza szczytem, gdy instalacje statyczne południe go nie generują.</t>
  </si>
  <si>
    <t>Powyzej wykres dla instalacji o różnej mocy, ale generujących ten sam uzysk.</t>
  </si>
  <si>
    <t>CAPEX</t>
  </si>
  <si>
    <t>K r e d y t   10   l a t</t>
  </si>
  <si>
    <t>D T S   Mini - Max</t>
  </si>
  <si>
    <t>Rata</t>
  </si>
  <si>
    <t>Razem</t>
  </si>
  <si>
    <t>Zostało</t>
  </si>
  <si>
    <t>Uzysk</t>
  </si>
  <si>
    <t>Przychód rok</t>
  </si>
  <si>
    <t>10  lat</t>
  </si>
  <si>
    <t>do spłaty</t>
  </si>
  <si>
    <t>roczny</t>
  </si>
  <si>
    <t>Luty</t>
  </si>
  <si>
    <t xml:space="preserve">Kwiecień </t>
  </si>
  <si>
    <t>Kredyt</t>
  </si>
  <si>
    <t>Koszty obsługi</t>
  </si>
  <si>
    <t>Sierpień</t>
  </si>
  <si>
    <t xml:space="preserve">Październik </t>
  </si>
  <si>
    <t xml:space="preserve">W tym poza </t>
  </si>
  <si>
    <t>śr. kWh/rok</t>
  </si>
  <si>
    <t>Koszt PLN</t>
  </si>
  <si>
    <t>kWh/rok</t>
  </si>
  <si>
    <t>1 kWh w roku</t>
  </si>
  <si>
    <t>Całkowita kwota do spłaty</t>
  </si>
  <si>
    <t>Po spłacie kredytu</t>
  </si>
  <si>
    <t>Ilość uzyskanej energii/10lat</t>
  </si>
  <si>
    <t>Koszt kredytu w uzysku 1 kWh/10 lat</t>
  </si>
  <si>
    <t>Koszt wytworzenia 1 kWh</t>
  </si>
  <si>
    <t>po spłacie kredytu</t>
  </si>
  <si>
    <t>Średni koszt wytworzenia 1 kWh</t>
  </si>
  <si>
    <t>w czasie spłaty kredytu</t>
  </si>
  <si>
    <t>śr. MWh/rok</t>
  </si>
  <si>
    <t>MWh/rok</t>
  </si>
  <si>
    <t>1 MWh w roku</t>
  </si>
  <si>
    <t>Koszt kredytu w uzysku 1 MWh/10 lat</t>
  </si>
  <si>
    <t>Koszt wytworzenia 1 MWh</t>
  </si>
  <si>
    <t xml:space="preserve">Średni koszt wytworzenia 1 MWh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</si>
</sst>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\ _z_ł_-;\-* #,##0\ _z_ł_-;_-* &quot;-&quot;??\ _z_ł_-;_-@"/>
    <numFmt numFmtId="165" formatCode="_-* #,##0.00\ _z_ł_-;\-* #,##0.00\ _z_ł_-;_-* &quot;-&quot;??\ _z_ł_-;_-@"/>
    <numFmt numFmtId="166" formatCode="_-* #,##0.0\ _z_ł_-;\-* #,##0.0\ _z_ł_-;_-* &quot;-&quot;??\ _z_ł_-;_-@"/>
    <numFmt numFmtId="167" formatCode="0.0000"/>
    <numFmt numFmtId="168" formatCode="_-* #,##0\ _z_ł_-;\-* #,##0\ _z_ł_-;_-* &quot;-&quot;????\ _z_ł_-;_-@"/>
  </numFmts>
  <fonts count="68">
    <font>
      <sz val="11.0"/>
      <color theme="1"/>
      <name val="Calibri"/>
      <scheme val="minor"/>
    </font>
    <font>
      <b/>
      <sz val="28.0"/>
      <color theme="1"/>
      <name val="Calibri"/>
    </font>
    <font>
      <sz val="28.0"/>
      <color theme="1"/>
      <name val="Calibri"/>
    </font>
    <font>
      <b/>
      <sz val="15.0"/>
      <color theme="1"/>
      <name val="Calibri"/>
    </font>
    <font>
      <b/>
      <u/>
      <sz val="15.0"/>
      <color rgb="FF0000FF"/>
      <name val="Calibri"/>
    </font>
    <font>
      <b/>
      <sz val="11.0"/>
      <color theme="1"/>
      <name val="Calibri"/>
    </font>
    <font>
      <b/>
      <u/>
      <sz val="15.0"/>
      <color rgb="FF0000FF"/>
    </font>
    <font>
      <b/>
      <sz val="24.0"/>
      <color theme="1"/>
      <name val="Calibri"/>
    </font>
    <font/>
    <font>
      <b/>
      <sz val="14.0"/>
      <color theme="1"/>
      <name val="Calibri"/>
    </font>
    <font>
      <b/>
      <sz val="14.0"/>
      <color rgb="FF00B050"/>
      <name val="Calibri"/>
    </font>
    <font>
      <b/>
      <sz val="12.0"/>
      <color theme="0"/>
      <name val="Calibri"/>
    </font>
    <font>
      <sz val="11.0"/>
      <color theme="0"/>
      <name val="Calibri"/>
    </font>
    <font>
      <b/>
      <sz val="8.0"/>
      <color theme="1"/>
      <name val="Calibri"/>
    </font>
    <font>
      <b/>
      <sz val="11.0"/>
      <color rgb="FF00B050"/>
      <name val="Calibri"/>
    </font>
    <font>
      <b/>
      <sz val="8.0"/>
      <color rgb="FF00B050"/>
      <name val="Calibri"/>
    </font>
    <font>
      <sz val="11.0"/>
      <color theme="1"/>
      <name val="Calibri"/>
    </font>
    <font>
      <color theme="1"/>
      <name val="Calibri"/>
    </font>
    <font>
      <b/>
      <sz val="12.0"/>
      <color theme="1"/>
      <name val="Calibri"/>
    </font>
    <font>
      <b/>
      <sz val="14.0"/>
      <color rgb="FF953734"/>
      <name val="Calibri"/>
    </font>
    <font>
      <sz val="11.0"/>
      <color rgb="FF00B050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14.0"/>
      <color rgb="FFE36C09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trike/>
      <sz val="10.0"/>
      <color theme="1"/>
      <name val="Calibri"/>
    </font>
    <font>
      <b/>
      <sz val="10.0"/>
      <color rgb="FFFF0000"/>
      <name val="Calibri"/>
    </font>
    <font>
      <b/>
      <sz val="10.0"/>
      <color rgb="FF00B050"/>
      <name val="Calibri"/>
    </font>
    <font>
      <b/>
      <sz val="8.0"/>
      <color rgb="FF002060"/>
      <name val="Calibri"/>
    </font>
    <font>
      <b/>
      <sz val="10.0"/>
      <color rgb="FF548DD4"/>
      <name val="Calibri"/>
    </font>
    <font>
      <b/>
      <sz val="10.0"/>
      <color rgb="FF953734"/>
      <name val="Calibri"/>
    </font>
    <font>
      <sz val="8.0"/>
      <color theme="1"/>
      <name val="Calibri"/>
    </font>
    <font>
      <b/>
      <sz val="18.0"/>
      <color theme="1"/>
      <name val="Calibri"/>
    </font>
    <font>
      <b/>
      <sz val="11.0"/>
      <color rgb="FFFF0000"/>
      <name val="Calibri"/>
    </font>
    <font>
      <b/>
      <sz val="12.0"/>
      <color rgb="FFFF0000"/>
      <name val="Calibri"/>
    </font>
    <font>
      <b/>
      <sz val="16.0"/>
      <color theme="1"/>
      <name val="Calibri"/>
    </font>
    <font>
      <b/>
      <sz val="18.0"/>
      <color rgb="FF00B050"/>
      <name val="Calibri"/>
    </font>
    <font>
      <b/>
      <sz val="11.0"/>
      <color rgb="FF00B0F0"/>
      <name val="Calibri"/>
    </font>
    <font>
      <b/>
      <sz val="11.0"/>
      <color rgb="FFE36C09"/>
      <name val="Calibri"/>
    </font>
    <font>
      <b/>
      <sz val="24.0"/>
      <color rgb="FF00B050"/>
      <name val="Calibri"/>
    </font>
    <font>
      <b/>
      <sz val="14.0"/>
      <color rgb="FF4F6128"/>
      <name val="Czcionka tekstu podstawowego"/>
    </font>
    <font>
      <b/>
      <sz val="11.0"/>
      <color theme="1"/>
      <name val="Czcionka tekstu podstawowego"/>
    </font>
    <font>
      <b/>
      <sz val="16.0"/>
      <color rgb="FFFF0000"/>
      <name val="Calibri"/>
    </font>
    <font>
      <b/>
      <sz val="16.0"/>
      <color rgb="FF76923C"/>
      <name val="Calibri"/>
    </font>
    <font>
      <b/>
      <sz val="16.0"/>
      <color rgb="FF548DD4"/>
      <name val="Calibri"/>
    </font>
    <font>
      <b/>
      <sz val="11.0"/>
      <color rgb="FF0070C0"/>
      <name val="Czcionka tekstu podstawowego"/>
    </font>
    <font>
      <b/>
      <sz val="16.0"/>
      <color rgb="FF00B0F0"/>
      <name val="Calibri"/>
    </font>
    <font>
      <b/>
      <sz val="12.0"/>
      <color rgb="FFFF0000"/>
      <name val="Czcionka tekstu podstawowego"/>
    </font>
    <font>
      <b/>
      <sz val="16.0"/>
      <color rgb="FFE36C09"/>
      <name val="Calibri"/>
    </font>
    <font>
      <b/>
      <sz val="12.0"/>
      <color theme="1"/>
      <name val="Czcionka tekstu podstawowego"/>
    </font>
    <font>
      <b/>
      <sz val="18.0"/>
      <color rgb="FFFF0000"/>
      <name val="Calibri"/>
    </font>
    <font>
      <b/>
      <sz val="11.0"/>
      <color theme="0"/>
      <name val="Czcionka tekstu podstawowego"/>
    </font>
    <font>
      <b/>
      <sz val="26.0"/>
      <color rgb="FF4F6128"/>
      <name val="Czcionka tekstu podstawowego"/>
    </font>
    <font>
      <b/>
      <sz val="16.0"/>
      <color theme="6"/>
      <name val="Calibri"/>
    </font>
    <font>
      <b/>
      <sz val="24.0"/>
      <color rgb="FF00B0F0"/>
      <name val="Calibri"/>
    </font>
    <font>
      <b/>
      <sz val="20.0"/>
      <color rgb="FF00B0F0"/>
      <name val="Calibri"/>
    </font>
    <font>
      <b/>
      <sz val="24.0"/>
      <color rgb="FFE36C09"/>
      <name val="Calibri"/>
    </font>
    <font>
      <b/>
      <sz val="8.0"/>
      <color rgb="FFE36C09"/>
      <name val="Calibri"/>
    </font>
    <font>
      <sz val="11.0"/>
      <color rgb="FF00B0F0"/>
      <name val="Calibri"/>
    </font>
    <font>
      <b/>
      <sz val="11.0"/>
      <color rgb="FF0070C0"/>
      <name val="Calibri"/>
    </font>
    <font>
      <b/>
      <sz val="48.0"/>
      <color theme="1"/>
      <name val="Calibri"/>
    </font>
    <font>
      <b/>
      <sz val="14.0"/>
      <color rgb="FF00B0F0"/>
      <name val="Calibri"/>
    </font>
    <font>
      <b/>
      <sz val="24.0"/>
      <color rgb="FFFF0000"/>
      <name val="Calibri"/>
    </font>
    <font>
      <sz val="14.0"/>
      <color theme="1"/>
      <name val="Calibri"/>
    </font>
    <font>
      <b/>
      <sz val="14.0"/>
      <color rgb="FFFF0000"/>
      <name val="Calibri"/>
    </font>
    <font>
      <b/>
      <sz val="24.0"/>
      <color rgb="FF0070C0"/>
      <name val="Calibri"/>
    </font>
    <font>
      <b/>
      <sz val="20.0"/>
      <color rgb="FF0070C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  <fill>
      <patternFill patternType="solid">
        <fgColor theme="1"/>
        <bgColor theme="1"/>
      </patternFill>
    </fill>
    <fill>
      <patternFill patternType="solid">
        <fgColor rgb="FF953734"/>
        <bgColor rgb="FF953734"/>
      </patternFill>
    </fill>
    <fill>
      <patternFill patternType="solid">
        <fgColor rgb="FFDDD9C3"/>
        <bgColor rgb="FFDDD9C3"/>
      </patternFill>
    </fill>
  </fills>
  <borders count="3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/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5" numFmtId="0" xfId="0" applyAlignment="1" applyFont="1">
      <alignment horizontal="center"/>
    </xf>
    <xf borderId="1" fillId="2" fontId="7" numFmtId="0" xfId="0" applyAlignment="1" applyBorder="1" applyFill="1" applyFont="1">
      <alignment horizontal="center"/>
    </xf>
    <xf borderId="2" fillId="0" fontId="8" numFmtId="0" xfId="0" applyBorder="1" applyFont="1"/>
    <xf borderId="3" fillId="0" fontId="8" numFmtId="0" xfId="0" applyBorder="1" applyFont="1"/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5" numFmtId="0" xfId="0" applyFont="1"/>
    <xf borderId="4" fillId="0" fontId="11" numFmtId="164" xfId="0" applyBorder="1" applyFont="1" applyNumberFormat="1"/>
    <xf borderId="5" fillId="0" fontId="12" numFmtId="0" xfId="0" applyBorder="1" applyFont="1"/>
    <xf borderId="0" fillId="0" fontId="13" numFmtId="0" xfId="0" applyFont="1"/>
    <xf borderId="6" fillId="0" fontId="11" numFmtId="164" xfId="0" applyBorder="1" applyFont="1" applyNumberFormat="1"/>
    <xf borderId="0" fillId="0" fontId="12" numFmtId="0" xfId="0" applyFont="1"/>
    <xf borderId="0" fillId="0" fontId="14" numFmtId="164" xfId="0" applyFont="1" applyNumberFormat="1"/>
    <xf borderId="0" fillId="0" fontId="15" numFmtId="164" xfId="0" applyFont="1" applyNumberFormat="1"/>
    <xf borderId="4" fillId="0" fontId="12" numFmtId="0" xfId="0" applyBorder="1" applyFont="1"/>
    <xf borderId="7" fillId="0" fontId="10" numFmtId="164" xfId="0" applyBorder="1" applyFont="1" applyNumberFormat="1"/>
    <xf borderId="8" fillId="0" fontId="16" numFmtId="16" xfId="0" applyBorder="1" applyFont="1" applyNumberFormat="1"/>
    <xf borderId="8" fillId="0" fontId="5" numFmtId="0" xfId="0" applyBorder="1" applyFont="1"/>
    <xf borderId="8" fillId="0" fontId="16" numFmtId="0" xfId="0" applyBorder="1" applyFont="1"/>
    <xf borderId="9" fillId="0" fontId="11" numFmtId="164" xfId="0" applyBorder="1" applyFont="1" applyNumberFormat="1"/>
    <xf borderId="9" fillId="0" fontId="12" numFmtId="0" xfId="0" applyBorder="1" applyFont="1"/>
    <xf borderId="0" fillId="0" fontId="17" numFmtId="0" xfId="0" applyFont="1"/>
    <xf borderId="10" fillId="0" fontId="18" numFmtId="164" xfId="0" applyBorder="1" applyFont="1" applyNumberFormat="1"/>
    <xf borderId="10" fillId="0" fontId="16" numFmtId="0" xfId="0" applyBorder="1" applyFont="1"/>
    <xf borderId="4" fillId="0" fontId="18" numFmtId="164" xfId="0" applyBorder="1" applyFont="1" applyNumberFormat="1"/>
    <xf borderId="4" fillId="0" fontId="16" numFmtId="0" xfId="0" applyBorder="1" applyFont="1"/>
    <xf borderId="0" fillId="0" fontId="10" numFmtId="164" xfId="0" applyFont="1" applyNumberFormat="1"/>
    <xf borderId="11" fillId="0" fontId="18" numFmtId="164" xfId="0" applyBorder="1" applyFont="1" applyNumberFormat="1"/>
    <xf borderId="0" fillId="0" fontId="16" numFmtId="164" xfId="0" applyFont="1" applyNumberFormat="1"/>
    <xf borderId="7" fillId="0" fontId="19" numFmtId="164" xfId="0" applyBorder="1" applyFont="1" applyNumberFormat="1"/>
    <xf borderId="0" fillId="0" fontId="19" numFmtId="164" xfId="0" applyFont="1" applyNumberFormat="1"/>
    <xf borderId="0" fillId="0" fontId="19" numFmtId="164" xfId="0" applyAlignment="1" applyFont="1" applyNumberFormat="1">
      <alignment horizontal="center"/>
    </xf>
    <xf borderId="7" fillId="3" fontId="19" numFmtId="164" xfId="0" applyBorder="1" applyFill="1" applyFont="1" applyNumberFormat="1"/>
    <xf borderId="12" fillId="3" fontId="16" numFmtId="0" xfId="0" applyBorder="1" applyFont="1"/>
    <xf borderId="0" fillId="0" fontId="16" numFmtId="9" xfId="0" applyAlignment="1" applyFont="1" applyNumberFormat="1">
      <alignment horizontal="center"/>
    </xf>
    <xf borderId="6" fillId="0" fontId="9" numFmtId="0" xfId="0" applyAlignment="1" applyBorder="1" applyFont="1">
      <alignment horizontal="center"/>
    </xf>
    <xf borderId="0" fillId="0" fontId="16" numFmtId="0" xfId="0" applyFont="1"/>
    <xf borderId="13" fillId="0" fontId="9" numFmtId="0" xfId="0" applyAlignment="1" applyBorder="1" applyFont="1">
      <alignment horizontal="center"/>
    </xf>
    <xf borderId="13" fillId="0" fontId="8" numFmtId="0" xfId="0" applyBorder="1" applyFont="1"/>
    <xf borderId="6" fillId="0" fontId="10" numFmtId="0" xfId="0" applyAlignment="1" applyBorder="1" applyFont="1">
      <alignment horizontal="center"/>
    </xf>
    <xf borderId="0" fillId="0" fontId="20" numFmtId="0" xfId="0" applyFont="1"/>
    <xf borderId="6" fillId="0" fontId="16" numFmtId="0" xfId="0" applyBorder="1" applyFont="1"/>
    <xf borderId="6" fillId="0" fontId="13" numFmtId="0" xfId="0" applyBorder="1" applyFont="1"/>
    <xf borderId="8" fillId="0" fontId="13" numFmtId="0" xfId="0" applyBorder="1" applyFont="1"/>
    <xf borderId="5" fillId="0" fontId="5" numFmtId="0" xfId="0" applyBorder="1" applyFont="1"/>
    <xf borderId="5" fillId="0" fontId="16" numFmtId="0" xfId="0" applyBorder="1" applyFont="1"/>
    <xf borderId="0" fillId="0" fontId="21" numFmtId="0" xfId="0" applyFont="1"/>
    <xf borderId="6" fillId="0" fontId="18" numFmtId="164" xfId="0" applyBorder="1" applyFont="1" applyNumberFormat="1"/>
    <xf borderId="0" fillId="0" fontId="21" numFmtId="164" xfId="0" applyFont="1" applyNumberFormat="1"/>
    <xf borderId="14" fillId="0" fontId="22" numFmtId="164" xfId="0" applyBorder="1" applyFont="1" applyNumberFormat="1"/>
    <xf borderId="15" fillId="0" fontId="14" numFmtId="164" xfId="0" applyBorder="1" applyFont="1" applyNumberFormat="1"/>
    <xf borderId="8" fillId="0" fontId="14" numFmtId="164" xfId="0" applyBorder="1" applyFont="1" applyNumberFormat="1"/>
    <xf borderId="8" fillId="0" fontId="10" numFmtId="164" xfId="0" applyBorder="1" applyFont="1" applyNumberFormat="1"/>
    <xf borderId="0" fillId="0" fontId="16" numFmtId="16" xfId="0" applyFont="1" applyNumberFormat="1"/>
    <xf borderId="16" fillId="0" fontId="10" numFmtId="164" xfId="0" applyBorder="1" applyFont="1" applyNumberFormat="1"/>
    <xf borderId="17" fillId="0" fontId="19" numFmtId="164" xfId="0" applyBorder="1" applyFont="1" applyNumberFormat="1"/>
    <xf borderId="0" fillId="0" fontId="23" numFmtId="164" xfId="0" applyFont="1" applyNumberFormat="1"/>
    <xf borderId="0" fillId="0" fontId="16" numFmtId="9" xfId="0" applyFont="1" applyNumberFormat="1"/>
    <xf borderId="0" fillId="0" fontId="10" numFmtId="0" xfId="0" applyFont="1"/>
    <xf borderId="0" fillId="0" fontId="15" numFmtId="0" xfId="0" applyFont="1"/>
    <xf borderId="0" fillId="0" fontId="21" numFmtId="164" xfId="0" applyAlignment="1" applyFont="1" applyNumberFormat="1">
      <alignment horizontal="left"/>
    </xf>
    <xf borderId="6" fillId="0" fontId="18" numFmtId="164" xfId="0" applyAlignment="1" applyBorder="1" applyFont="1" applyNumberFormat="1">
      <alignment readingOrder="0"/>
    </xf>
    <xf borderId="0" fillId="0" fontId="16" numFmtId="0" xfId="0" applyAlignment="1" applyFont="1">
      <alignment readingOrder="0"/>
    </xf>
    <xf borderId="1" fillId="0" fontId="24" numFmtId="0" xfId="0" applyBorder="1" applyFont="1"/>
    <xf borderId="2" fillId="0" fontId="24" numFmtId="0" xfId="0" applyBorder="1" applyFont="1"/>
    <xf borderId="1" fillId="0" fontId="9" numFmtId="0" xfId="0" applyAlignment="1" applyBorder="1" applyFont="1">
      <alignment horizontal="center"/>
    </xf>
    <xf borderId="0" fillId="0" fontId="25" numFmtId="0" xfId="0" applyFont="1"/>
    <xf borderId="0" fillId="0" fontId="25" numFmtId="0" xfId="0" applyAlignment="1" applyFont="1">
      <alignment horizontal="center"/>
    </xf>
    <xf borderId="6" fillId="0" fontId="24" numFmtId="0" xfId="0" applyAlignment="1" applyBorder="1" applyFont="1">
      <alignment horizontal="center"/>
    </xf>
    <xf borderId="0" fillId="0" fontId="24" numFmtId="0" xfId="0" applyAlignment="1" applyFont="1">
      <alignment horizontal="center"/>
    </xf>
    <xf borderId="0" fillId="0" fontId="26" numFmtId="0" xfId="0" applyAlignment="1" applyFont="1">
      <alignment horizontal="center"/>
    </xf>
    <xf borderId="10" fillId="0" fontId="27" numFmtId="0" xfId="0" applyBorder="1" applyFont="1"/>
    <xf borderId="0" fillId="0" fontId="27" numFmtId="165" xfId="0" applyFont="1" applyNumberFormat="1"/>
    <xf borderId="0" fillId="0" fontId="28" numFmtId="165" xfId="0" applyFont="1" applyNumberFormat="1"/>
    <xf borderId="4" fillId="0" fontId="25" numFmtId="165" xfId="0" applyBorder="1" applyFont="1" applyNumberFormat="1"/>
    <xf borderId="4" fillId="0" fontId="29" numFmtId="165" xfId="0" applyBorder="1" applyFont="1" applyNumberFormat="1"/>
    <xf borderId="4" fillId="0" fontId="28" numFmtId="165" xfId="0" applyBorder="1" applyFont="1" applyNumberFormat="1"/>
    <xf borderId="18" fillId="0" fontId="30" numFmtId="165" xfId="0" applyBorder="1" applyFont="1" applyNumberFormat="1"/>
    <xf borderId="5" fillId="0" fontId="25" numFmtId="0" xfId="0" applyAlignment="1" applyBorder="1" applyFont="1">
      <alignment horizontal="right"/>
    </xf>
    <xf borderId="4" fillId="0" fontId="27" numFmtId="165" xfId="0" applyBorder="1" applyFont="1" applyNumberFormat="1"/>
    <xf borderId="5" fillId="0" fontId="31" numFmtId="0" xfId="0" applyAlignment="1" applyBorder="1" applyFont="1">
      <alignment horizontal="right"/>
    </xf>
    <xf borderId="0" fillId="0" fontId="32" numFmtId="0" xfId="0" applyFont="1"/>
    <xf borderId="0" fillId="0" fontId="30" numFmtId="165" xfId="0" applyFont="1" applyNumberFormat="1"/>
    <xf borderId="0" fillId="0" fontId="31" numFmtId="0" xfId="0" applyAlignment="1" applyFont="1">
      <alignment horizontal="right"/>
    </xf>
    <xf borderId="4" fillId="4" fontId="27" numFmtId="165" xfId="0" applyBorder="1" applyFill="1" applyFont="1" applyNumberFormat="1"/>
    <xf borderId="4" fillId="4" fontId="29" numFmtId="165" xfId="0" applyBorder="1" applyFont="1" applyNumberFormat="1"/>
    <xf borderId="4" fillId="4" fontId="28" numFmtId="165" xfId="0" applyBorder="1" applyFont="1" applyNumberFormat="1"/>
    <xf borderId="19" fillId="4" fontId="30" numFmtId="165" xfId="0" applyBorder="1" applyFont="1" applyNumberFormat="1"/>
    <xf borderId="20" fillId="4" fontId="31" numFmtId="0" xfId="0" applyAlignment="1" applyBorder="1" applyFont="1">
      <alignment horizontal="right"/>
    </xf>
    <xf borderId="10" fillId="0" fontId="27" numFmtId="165" xfId="0" applyBorder="1" applyFont="1" applyNumberFormat="1"/>
    <xf borderId="10" fillId="0" fontId="29" numFmtId="165" xfId="0" applyBorder="1" applyFont="1" applyNumberFormat="1"/>
    <xf borderId="10" fillId="0" fontId="28" numFmtId="165" xfId="0" applyBorder="1" applyFont="1" applyNumberFormat="1"/>
    <xf borderId="5" fillId="0" fontId="25" numFmtId="0" xfId="0" applyBorder="1" applyFont="1"/>
    <xf borderId="21" fillId="0" fontId="30" numFmtId="165" xfId="0" applyBorder="1" applyFont="1" applyNumberFormat="1"/>
    <xf borderId="8" fillId="0" fontId="25" numFmtId="0" xfId="0" applyBorder="1" applyFont="1"/>
    <xf borderId="22" fillId="4" fontId="30" numFmtId="165" xfId="0" applyBorder="1" applyFont="1" applyNumberFormat="1"/>
    <xf borderId="22" fillId="4" fontId="31" numFmtId="0" xfId="0" applyBorder="1" applyFont="1"/>
    <xf borderId="5" fillId="0" fontId="31" numFmtId="0" xfId="0" applyBorder="1" applyFont="1"/>
    <xf borderId="0" fillId="0" fontId="31" numFmtId="0" xfId="0" applyFont="1"/>
    <xf borderId="1" fillId="0" fontId="33" numFmtId="0" xfId="0" applyAlignment="1" applyBorder="1" applyFont="1">
      <alignment horizontal="center"/>
    </xf>
    <xf borderId="23" fillId="0" fontId="5" numFmtId="0" xfId="0" applyAlignment="1" applyBorder="1" applyFont="1">
      <alignment horizontal="center"/>
    </xf>
    <xf borderId="0" fillId="0" fontId="18" numFmtId="0" xfId="0" applyAlignment="1" applyFont="1">
      <alignment horizontal="center"/>
    </xf>
    <xf borderId="24" fillId="0" fontId="5" numFmtId="0" xfId="0" applyAlignment="1" applyBorder="1" applyFont="1">
      <alignment horizontal="center"/>
    </xf>
    <xf borderId="24" fillId="0" fontId="5" numFmtId="0" xfId="0" applyBorder="1" applyFont="1"/>
    <xf borderId="0" fillId="0" fontId="34" numFmtId="165" xfId="0" applyFont="1" applyNumberFormat="1"/>
    <xf borderId="0" fillId="0" fontId="5" numFmtId="166" xfId="0" applyFont="1" applyNumberFormat="1"/>
    <xf borderId="5" fillId="0" fontId="35" numFmtId="165" xfId="0" applyBorder="1" applyFont="1" applyNumberFormat="1"/>
    <xf borderId="25" fillId="3" fontId="36" numFmtId="165" xfId="0" applyBorder="1" applyFont="1" applyNumberFormat="1"/>
    <xf borderId="25" fillId="0" fontId="9" numFmtId="164" xfId="0" applyBorder="1" applyFont="1" applyNumberFormat="1"/>
    <xf borderId="25" fillId="0" fontId="10" numFmtId="164" xfId="0" applyBorder="1" applyFont="1" applyNumberFormat="1"/>
    <xf borderId="25" fillId="0" fontId="36" numFmtId="165" xfId="0" applyBorder="1" applyFont="1" applyNumberFormat="1"/>
    <xf borderId="0" fillId="0" fontId="35" numFmtId="165" xfId="0" applyFont="1" applyNumberFormat="1"/>
    <xf borderId="17" fillId="0" fontId="18" numFmtId="165" xfId="0" applyBorder="1" applyFont="1" applyNumberFormat="1"/>
    <xf borderId="17" fillId="0" fontId="9" numFmtId="0" xfId="0" applyBorder="1" applyFont="1"/>
    <xf borderId="17" fillId="0" fontId="24" numFmtId="164" xfId="0" applyBorder="1" applyFont="1" applyNumberFormat="1"/>
    <xf borderId="17" fillId="0" fontId="22" numFmtId="165" xfId="0" applyBorder="1" applyFont="1" applyNumberFormat="1"/>
    <xf borderId="17" fillId="0" fontId="24" numFmtId="165" xfId="0" applyBorder="1" applyFont="1" applyNumberFormat="1"/>
    <xf borderId="5" fillId="0" fontId="35" numFmtId="165" xfId="0" applyAlignment="1" applyBorder="1" applyFont="1" applyNumberFormat="1">
      <alignment horizontal="center"/>
    </xf>
    <xf borderId="26" fillId="0" fontId="9" numFmtId="165" xfId="0" applyBorder="1" applyFont="1" applyNumberFormat="1"/>
    <xf borderId="26" fillId="0" fontId="9" numFmtId="164" xfId="0" applyBorder="1" applyFont="1" applyNumberFormat="1"/>
    <xf borderId="26" fillId="0" fontId="10" numFmtId="164" xfId="0" applyBorder="1" applyFont="1" applyNumberFormat="1"/>
    <xf borderId="26" fillId="0" fontId="36" numFmtId="165" xfId="0" applyBorder="1" applyFont="1" applyNumberFormat="1"/>
    <xf borderId="0" fillId="0" fontId="35" numFmtId="165" xfId="0" applyAlignment="1" applyFont="1" applyNumberFormat="1">
      <alignment horizontal="center"/>
    </xf>
    <xf borderId="24" fillId="0" fontId="18" numFmtId="165" xfId="0" applyBorder="1" applyFont="1" applyNumberFormat="1"/>
    <xf borderId="24" fillId="0" fontId="9" numFmtId="0" xfId="0" applyBorder="1" applyFont="1"/>
    <xf borderId="24" fillId="0" fontId="24" numFmtId="164" xfId="0" applyBorder="1" applyFont="1" applyNumberFormat="1"/>
    <xf borderId="24" fillId="0" fontId="22" numFmtId="165" xfId="0" applyBorder="1" applyFont="1" applyNumberFormat="1"/>
    <xf borderId="24" fillId="0" fontId="24" numFmtId="165" xfId="0" applyBorder="1" applyFont="1" applyNumberFormat="1"/>
    <xf borderId="22" fillId="5" fontId="34" numFmtId="165" xfId="0" applyBorder="1" applyFill="1" applyFont="1" applyNumberFormat="1"/>
    <xf borderId="22" fillId="5" fontId="5" numFmtId="166" xfId="0" applyBorder="1" applyFont="1" applyNumberFormat="1"/>
    <xf borderId="27" fillId="5" fontId="35" numFmtId="165" xfId="0" applyAlignment="1" applyBorder="1" applyFont="1" applyNumberFormat="1">
      <alignment horizontal="center"/>
    </xf>
    <xf borderId="25" fillId="5" fontId="9" numFmtId="165" xfId="0" applyBorder="1" applyFont="1" applyNumberFormat="1"/>
    <xf borderId="25" fillId="5" fontId="9" numFmtId="164" xfId="0" applyBorder="1" applyFont="1" applyNumberFormat="1"/>
    <xf borderId="25" fillId="5" fontId="10" numFmtId="164" xfId="0" applyBorder="1" applyFont="1" applyNumberFormat="1"/>
    <xf borderId="25" fillId="5" fontId="36" numFmtId="165" xfId="0" applyBorder="1" applyFont="1" applyNumberFormat="1"/>
    <xf borderId="22" fillId="5" fontId="35" numFmtId="165" xfId="0" applyAlignment="1" applyBorder="1" applyFont="1" applyNumberFormat="1">
      <alignment horizontal="center"/>
    </xf>
    <xf borderId="28" fillId="5" fontId="18" numFmtId="165" xfId="0" applyBorder="1" applyFont="1" applyNumberFormat="1"/>
    <xf borderId="28" fillId="5" fontId="9" numFmtId="0" xfId="0" applyBorder="1" applyFont="1"/>
    <xf borderId="28" fillId="5" fontId="9" numFmtId="164" xfId="0" applyBorder="1" applyFont="1" applyNumberFormat="1"/>
    <xf borderId="28" fillId="5" fontId="24" numFmtId="164" xfId="0" applyBorder="1" applyFont="1" applyNumberFormat="1"/>
    <xf borderId="28" fillId="5" fontId="22" numFmtId="165" xfId="0" applyBorder="1" applyFont="1" applyNumberFormat="1"/>
    <xf borderId="28" fillId="5" fontId="24" numFmtId="165" xfId="0" applyBorder="1" applyFont="1" applyNumberFormat="1"/>
    <xf borderId="23" fillId="0" fontId="9" numFmtId="165" xfId="0" applyBorder="1" applyFont="1" applyNumberFormat="1"/>
    <xf borderId="13" fillId="0" fontId="9" numFmtId="164" xfId="0" applyBorder="1" applyFont="1" applyNumberFormat="1"/>
    <xf borderId="23" fillId="0" fontId="9" numFmtId="164" xfId="0" applyBorder="1" applyFont="1" applyNumberFormat="1"/>
    <xf borderId="29" fillId="0" fontId="10" numFmtId="164" xfId="0" applyBorder="1" applyFont="1" applyNumberFormat="1"/>
    <xf borderId="29" fillId="0" fontId="36" numFmtId="165" xfId="0" applyBorder="1" applyFont="1" applyNumberFormat="1"/>
    <xf borderId="30" fillId="0" fontId="18" numFmtId="165" xfId="0" applyBorder="1" applyFont="1" applyNumberFormat="1"/>
    <xf borderId="31" fillId="0" fontId="5" numFmtId="0" xfId="0" applyBorder="1" applyFont="1"/>
    <xf borderId="30" fillId="0" fontId="5" numFmtId="0" xfId="0" applyBorder="1" applyFont="1"/>
    <xf borderId="30" fillId="0" fontId="5" numFmtId="164" xfId="0" applyBorder="1" applyFont="1" applyNumberFormat="1"/>
    <xf borderId="32" fillId="0" fontId="22" numFmtId="165" xfId="0" applyBorder="1" applyFont="1" applyNumberFormat="1"/>
    <xf borderId="32" fillId="0" fontId="5" numFmtId="165" xfId="0" applyBorder="1" applyFont="1" applyNumberFormat="1"/>
    <xf borderId="7" fillId="5" fontId="16" numFmtId="0" xfId="0" applyBorder="1" applyFont="1"/>
    <xf borderId="33" fillId="0" fontId="5" numFmtId="0" xfId="0" applyBorder="1" applyFont="1"/>
    <xf borderId="7" fillId="0" fontId="33" numFmtId="0" xfId="0" applyBorder="1" applyFont="1"/>
    <xf borderId="7" fillId="0" fontId="37" numFmtId="0" xfId="0" applyAlignment="1" applyBorder="1" applyFont="1">
      <alignment horizontal="center"/>
    </xf>
    <xf borderId="7" fillId="0" fontId="37" numFmtId="164" xfId="0" applyAlignment="1" applyBorder="1" applyFont="1" applyNumberFormat="1">
      <alignment horizontal="center"/>
    </xf>
    <xf borderId="0" fillId="0" fontId="22" numFmtId="165" xfId="0" applyFont="1" applyNumberFormat="1"/>
    <xf borderId="4" fillId="0" fontId="5" numFmtId="0" xfId="0" applyBorder="1" applyFont="1"/>
    <xf borderId="4" fillId="0" fontId="38" numFmtId="0" xfId="0" applyAlignment="1" applyBorder="1" applyFont="1">
      <alignment horizontal="center"/>
    </xf>
    <xf borderId="4" fillId="0" fontId="38" numFmtId="164" xfId="0" applyAlignment="1" applyBorder="1" applyFont="1" applyNumberFormat="1">
      <alignment horizontal="center"/>
    </xf>
    <xf borderId="4" fillId="0" fontId="14" numFmtId="0" xfId="0" applyAlignment="1" applyBorder="1" applyFont="1">
      <alignment horizontal="center"/>
    </xf>
    <xf borderId="4" fillId="0" fontId="14" numFmtId="164" xfId="0" applyBorder="1" applyFont="1" applyNumberFormat="1"/>
    <xf borderId="0" fillId="0" fontId="34" numFmtId="164" xfId="0" applyFont="1" applyNumberFormat="1"/>
    <xf borderId="0" fillId="0" fontId="34" numFmtId="0" xfId="0" applyFont="1"/>
    <xf borderId="4" fillId="0" fontId="38" numFmtId="165" xfId="0" applyBorder="1" applyFont="1" applyNumberFormat="1"/>
    <xf borderId="4" fillId="0" fontId="38" numFmtId="164" xfId="0" applyBorder="1" applyFont="1" applyNumberFormat="1"/>
    <xf borderId="4" fillId="0" fontId="39" numFmtId="0" xfId="0" applyAlignment="1" applyBorder="1" applyFont="1">
      <alignment horizontal="center"/>
    </xf>
    <xf borderId="4" fillId="0" fontId="39" numFmtId="165" xfId="0" applyBorder="1" applyFont="1" applyNumberFormat="1"/>
    <xf borderId="0" fillId="0" fontId="34" numFmtId="0" xfId="0" applyAlignment="1" applyFont="1">
      <alignment horizontal="left"/>
    </xf>
    <xf borderId="7" fillId="0" fontId="37" numFmtId="165" xfId="0" applyAlignment="1" applyBorder="1" applyFont="1" applyNumberFormat="1">
      <alignment horizontal="center"/>
    </xf>
    <xf borderId="0" fillId="0" fontId="34" numFmtId="0" xfId="0" applyAlignment="1" applyFont="1">
      <alignment horizontal="center"/>
    </xf>
    <xf borderId="0" fillId="0" fontId="35" numFmtId="0" xfId="0" applyFont="1"/>
    <xf borderId="1" fillId="0" fontId="40" numFmtId="0" xfId="0" applyAlignment="1" applyBorder="1" applyFont="1">
      <alignment horizontal="center"/>
    </xf>
    <xf borderId="28" fillId="3" fontId="41" numFmtId="1" xfId="0" applyAlignment="1" applyBorder="1" applyFont="1" applyNumberFormat="1">
      <alignment horizontal="center"/>
    </xf>
    <xf borderId="28" fillId="3" fontId="42" numFmtId="0" xfId="0" applyAlignment="1" applyBorder="1" applyFont="1">
      <alignment horizontal="center"/>
    </xf>
    <xf borderId="0" fillId="0" fontId="43" numFmtId="0" xfId="0" applyAlignment="1" applyFont="1">
      <alignment horizontal="center"/>
    </xf>
    <xf borderId="0" fillId="0" fontId="36" numFmtId="0" xfId="0" applyAlignment="1" applyFont="1">
      <alignment horizontal="center"/>
    </xf>
    <xf borderId="0" fillId="0" fontId="33" numFmtId="0" xfId="0" applyFont="1"/>
    <xf borderId="1" fillId="0" fontId="44" numFmtId="165" xfId="0" applyAlignment="1" applyBorder="1" applyFont="1" applyNumberFormat="1">
      <alignment horizontal="center"/>
    </xf>
    <xf borderId="7" fillId="3" fontId="36" numFmtId="165" xfId="0" applyAlignment="1" applyBorder="1" applyFont="1" applyNumberFormat="1">
      <alignment horizontal="center"/>
    </xf>
    <xf borderId="2" fillId="0" fontId="44" numFmtId="2" xfId="0" applyAlignment="1" applyBorder="1" applyFont="1" applyNumberFormat="1">
      <alignment horizontal="center"/>
    </xf>
    <xf borderId="7" fillId="0" fontId="44" numFmtId="164" xfId="0" applyBorder="1" applyFont="1" applyNumberFormat="1"/>
    <xf borderId="7" fillId="3" fontId="45" numFmtId="165" xfId="0" applyBorder="1" applyFont="1" applyNumberFormat="1"/>
    <xf borderId="0" fillId="0" fontId="38" numFmtId="0" xfId="0" applyFont="1"/>
    <xf borderId="0" fillId="0" fontId="5" numFmtId="0" xfId="0" applyAlignment="1" applyFont="1">
      <alignment horizontal="right"/>
    </xf>
    <xf borderId="0" fillId="0" fontId="46" numFmtId="164" xfId="0" applyFont="1" applyNumberFormat="1"/>
    <xf borderId="0" fillId="0" fontId="47" numFmtId="164" xfId="0" applyAlignment="1" applyFont="1" applyNumberFormat="1">
      <alignment horizontal="right"/>
    </xf>
    <xf borderId="0" fillId="0" fontId="48" numFmtId="164" xfId="0" applyFont="1" applyNumberFormat="1"/>
    <xf borderId="0" fillId="0" fontId="9" numFmtId="0" xfId="0" applyAlignment="1" applyFont="1">
      <alignment horizontal="left"/>
    </xf>
    <xf borderId="22" fillId="3" fontId="47" numFmtId="164" xfId="0" applyAlignment="1" applyBorder="1" applyFont="1" applyNumberFormat="1">
      <alignment horizontal="right"/>
    </xf>
    <xf borderId="0" fillId="0" fontId="38" numFmtId="0" xfId="0" applyAlignment="1" applyFont="1">
      <alignment horizontal="right"/>
    </xf>
    <xf borderId="0" fillId="0" fontId="47" numFmtId="164" xfId="0" applyFont="1" applyNumberFormat="1"/>
    <xf borderId="0" fillId="0" fontId="23" numFmtId="0" xfId="0" applyAlignment="1" applyFont="1">
      <alignment horizontal="left"/>
    </xf>
    <xf borderId="7" fillId="4" fontId="49" numFmtId="164" xfId="0" applyAlignment="1" applyBorder="1" applyFont="1" applyNumberFormat="1">
      <alignment horizontal="right"/>
    </xf>
    <xf borderId="0" fillId="0" fontId="50" numFmtId="164" xfId="0" applyFont="1" applyNumberFormat="1"/>
    <xf borderId="22" fillId="6" fontId="16" numFmtId="0" xfId="0" applyBorder="1" applyFill="1" applyFont="1"/>
    <xf borderId="1" fillId="0" fontId="51" numFmtId="0" xfId="0" applyAlignment="1" applyBorder="1" applyFont="1">
      <alignment horizontal="center"/>
    </xf>
    <xf borderId="22" fillId="7" fontId="52" numFmtId="1" xfId="0" applyAlignment="1" applyBorder="1" applyFill="1" applyFont="1" applyNumberFormat="1">
      <alignment horizontal="center"/>
    </xf>
    <xf borderId="1" fillId="0" fontId="44" numFmtId="2" xfId="0" applyAlignment="1" applyBorder="1" applyFont="1" applyNumberFormat="1">
      <alignment horizontal="center"/>
    </xf>
    <xf borderId="7" fillId="0" fontId="36" numFmtId="2" xfId="0" applyAlignment="1" applyBorder="1" applyFont="1" applyNumberFormat="1">
      <alignment horizontal="center"/>
    </xf>
    <xf borderId="7" fillId="0" fontId="45" numFmtId="165" xfId="0" applyBorder="1" applyFont="1" applyNumberFormat="1"/>
    <xf borderId="7" fillId="0" fontId="36" numFmtId="165" xfId="0" applyAlignment="1" applyBorder="1" applyFont="1" applyNumberFormat="1">
      <alignment horizontal="center"/>
    </xf>
    <xf borderId="0" fillId="0" fontId="51" numFmtId="0" xfId="0" applyAlignment="1" applyFont="1">
      <alignment horizontal="center"/>
    </xf>
    <xf borderId="0" fillId="0" fontId="5" numFmtId="164" xfId="0" applyAlignment="1" applyFont="1" applyNumberFormat="1">
      <alignment horizontal="right"/>
    </xf>
    <xf borderId="1" fillId="0" fontId="53" numFmtId="0" xfId="0" applyAlignment="1" applyBorder="1" applyFont="1">
      <alignment horizontal="center"/>
    </xf>
    <xf borderId="1" fillId="0" fontId="54" numFmtId="164" xfId="0" applyAlignment="1" applyBorder="1" applyFont="1" applyNumberFormat="1">
      <alignment horizontal="center"/>
    </xf>
    <xf borderId="2" fillId="0" fontId="54" numFmtId="164" xfId="0" applyAlignment="1" applyBorder="1" applyFont="1" applyNumberFormat="1">
      <alignment horizontal="center"/>
    </xf>
    <xf borderId="7" fillId="0" fontId="54" numFmtId="164" xfId="0" applyBorder="1" applyFont="1" applyNumberFormat="1"/>
    <xf borderId="7" fillId="3" fontId="45" numFmtId="164" xfId="0" applyBorder="1" applyFont="1" applyNumberFormat="1"/>
    <xf borderId="7" fillId="0" fontId="47" numFmtId="164" xfId="0" applyAlignment="1" applyBorder="1" applyFont="1" applyNumberFormat="1">
      <alignment horizontal="right"/>
    </xf>
    <xf borderId="0" fillId="0" fontId="16" numFmtId="0" xfId="0" applyAlignment="1" applyFont="1">
      <alignment horizontal="center"/>
    </xf>
    <xf borderId="1" fillId="0" fontId="54" numFmtId="165" xfId="0" applyAlignment="1" applyBorder="1" applyFont="1" applyNumberFormat="1">
      <alignment horizontal="center"/>
    </xf>
    <xf borderId="7" fillId="0" fontId="45" numFmtId="164" xfId="0" applyBorder="1" applyFont="1" applyNumberFormat="1"/>
    <xf borderId="7" fillId="0" fontId="36" numFmtId="164" xfId="0" applyBorder="1" applyFont="1" applyNumberFormat="1"/>
    <xf borderId="34" fillId="3" fontId="55" numFmtId="164" xfId="0" applyAlignment="1" applyBorder="1" applyFont="1" applyNumberFormat="1">
      <alignment horizontal="center"/>
    </xf>
    <xf borderId="1" fillId="0" fontId="56" numFmtId="164" xfId="0" applyAlignment="1" applyBorder="1" applyFont="1" applyNumberFormat="1">
      <alignment horizontal="center"/>
    </xf>
    <xf borderId="1" fillId="0" fontId="40" numFmtId="164" xfId="0" applyBorder="1" applyFont="1" applyNumberFormat="1"/>
    <xf borderId="12" fillId="8" fontId="16" numFmtId="0" xfId="0" applyBorder="1" applyFill="1" applyFont="1"/>
    <xf borderId="3" fillId="0" fontId="40" numFmtId="0" xfId="0" applyAlignment="1" applyBorder="1" applyFont="1">
      <alignment horizontal="center"/>
    </xf>
    <xf borderId="33" fillId="0" fontId="57" numFmtId="0" xfId="0" applyAlignment="1" applyBorder="1" applyFont="1">
      <alignment horizontal="center"/>
    </xf>
    <xf borderId="22" fillId="8" fontId="16" numFmtId="0" xfId="0" applyBorder="1" applyFont="1"/>
    <xf borderId="1" fillId="0" fontId="43" numFmtId="0" xfId="0" applyAlignment="1" applyBorder="1" applyFont="1">
      <alignment horizontal="center"/>
    </xf>
    <xf borderId="7" fillId="3" fontId="49" numFmtId="1" xfId="0" applyAlignment="1" applyBorder="1" applyFont="1" applyNumberFormat="1">
      <alignment horizontal="center"/>
    </xf>
    <xf borderId="0" fillId="0" fontId="38" numFmtId="164" xfId="0" applyAlignment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38" numFmtId="0" xfId="0" applyAlignment="1" applyFont="1">
      <alignment horizontal="center"/>
    </xf>
    <xf borderId="0" fillId="0" fontId="58" numFmtId="167" xfId="0" applyAlignment="1" applyFont="1" applyNumberFormat="1">
      <alignment horizontal="center"/>
    </xf>
    <xf borderId="7" fillId="0" fontId="38" numFmtId="164" xfId="0" applyBorder="1" applyFont="1" applyNumberFormat="1"/>
    <xf borderId="0" fillId="0" fontId="59" numFmtId="164" xfId="0" applyFont="1" applyNumberFormat="1"/>
    <xf borderId="0" fillId="0" fontId="38" numFmtId="164" xfId="0" applyFont="1" applyNumberFormat="1"/>
    <xf borderId="7" fillId="3" fontId="60" numFmtId="165" xfId="0" applyBorder="1" applyFont="1" applyNumberFormat="1"/>
    <xf borderId="0" fillId="0" fontId="16" numFmtId="165" xfId="0" applyFont="1" applyNumberFormat="1"/>
    <xf borderId="0" fillId="0" fontId="5" numFmtId="164" xfId="0" applyAlignment="1" applyFont="1" applyNumberFormat="1">
      <alignment horizontal="center"/>
    </xf>
    <xf borderId="23" fillId="0" fontId="61" numFmtId="0" xfId="0" applyAlignment="1" applyBorder="1" applyFont="1">
      <alignment horizontal="center"/>
    </xf>
    <xf borderId="22" fillId="3" fontId="38" numFmtId="164" xfId="0" applyBorder="1" applyFont="1" applyNumberFormat="1"/>
    <xf borderId="24" fillId="0" fontId="8" numFmtId="0" xfId="0" applyBorder="1" applyFont="1"/>
    <xf borderId="0" fillId="0" fontId="59" numFmtId="168" xfId="0" applyFont="1" applyNumberFormat="1"/>
    <xf borderId="17" fillId="0" fontId="8" numFmtId="0" xfId="0" applyBorder="1" applyFont="1"/>
    <xf borderId="23" fillId="0" fontId="56" numFmtId="164" xfId="0" applyAlignment="1" applyBorder="1" applyFont="1" applyNumberFormat="1">
      <alignment horizontal="center"/>
    </xf>
    <xf borderId="0" fillId="0" fontId="34" numFmtId="164" xfId="0" applyAlignment="1" applyFont="1" applyNumberFormat="1">
      <alignment horizontal="center"/>
    </xf>
    <xf borderId="0" fillId="0" fontId="16" numFmtId="0" xfId="0" applyAlignment="1" applyFont="1">
      <alignment horizontal="right"/>
    </xf>
    <xf borderId="7" fillId="0" fontId="5" numFmtId="164" xfId="0" applyBorder="1" applyFont="1" applyNumberFormat="1"/>
    <xf borderId="0" fillId="0" fontId="62" numFmtId="164" xfId="0" applyFont="1" applyNumberFormat="1"/>
    <xf borderId="7" fillId="0" fontId="14" numFmtId="165" xfId="0" applyBorder="1" applyFont="1" applyNumberFormat="1"/>
    <xf borderId="0" fillId="0" fontId="22" numFmtId="0" xfId="0" applyFont="1"/>
    <xf borderId="7" fillId="3" fontId="10" numFmtId="164" xfId="0" applyBorder="1" applyFont="1" applyNumberFormat="1"/>
    <xf borderId="23" fillId="0" fontId="63" numFmtId="165" xfId="0" applyAlignment="1" applyBorder="1" applyFont="1" applyNumberFormat="1">
      <alignment horizontal="center"/>
    </xf>
    <xf borderId="22" fillId="8" fontId="16" numFmtId="165" xfId="0" applyBorder="1" applyFont="1" applyNumberFormat="1"/>
    <xf borderId="22" fillId="8" fontId="14" numFmtId="0" xfId="0" applyAlignment="1" applyBorder="1" applyFont="1">
      <alignment horizontal="center"/>
    </xf>
    <xf borderId="0" fillId="0" fontId="60" numFmtId="165" xfId="0" applyFont="1" applyNumberFormat="1"/>
    <xf borderId="0" fillId="0" fontId="62" numFmtId="0" xfId="0" applyAlignment="1" applyFont="1">
      <alignment horizontal="center"/>
    </xf>
    <xf borderId="7" fillId="0" fontId="62" numFmtId="164" xfId="0" applyBorder="1" applyFont="1" applyNumberFormat="1"/>
    <xf borderId="1" fillId="0" fontId="23" numFmtId="0" xfId="0" applyAlignment="1" applyBorder="1" applyFont="1">
      <alignment horizontal="center"/>
    </xf>
    <xf borderId="0" fillId="0" fontId="9" numFmtId="0" xfId="0" applyFont="1"/>
    <xf borderId="0" fillId="0" fontId="64" numFmtId="0" xfId="0" applyAlignment="1" applyFont="1">
      <alignment horizontal="center"/>
    </xf>
    <xf borderId="0" fillId="0" fontId="65" numFmtId="0" xfId="0" applyAlignment="1" applyFont="1">
      <alignment horizontal="center"/>
    </xf>
    <xf borderId="7" fillId="0" fontId="62" numFmtId="165" xfId="0" applyBorder="1" applyFont="1" applyNumberFormat="1"/>
    <xf borderId="35" fillId="0" fontId="5" numFmtId="0" xfId="0" applyAlignment="1" applyBorder="1" applyFont="1">
      <alignment horizontal="center"/>
    </xf>
    <xf borderId="35" fillId="0" fontId="8" numFmtId="0" xfId="0" applyBorder="1" applyFont="1"/>
    <xf borderId="36" fillId="0" fontId="8" numFmtId="0" xfId="0" applyBorder="1" applyFont="1"/>
    <xf borderId="23" fillId="0" fontId="66" numFmtId="165" xfId="0" applyAlignment="1" applyBorder="1" applyFont="1" applyNumberFormat="1">
      <alignment horizontal="center"/>
    </xf>
    <xf borderId="37" fillId="0" fontId="5" numFmtId="0" xfId="0" applyAlignment="1" applyBorder="1" applyFont="1">
      <alignment horizontal="center"/>
    </xf>
    <xf borderId="37" fillId="0" fontId="8" numFmtId="0" xfId="0" applyBorder="1" applyFont="1"/>
    <xf borderId="38" fillId="0" fontId="8" numFmtId="0" xfId="0" applyBorder="1" applyFont="1"/>
    <xf borderId="23" fillId="0" fontId="67" numFmtId="165" xfId="0" applyAlignment="1" applyBorder="1" applyFont="1" applyNumberFormat="1">
      <alignment horizontal="center"/>
    </xf>
    <xf borderId="7" fillId="3" fontId="60" numFmtId="164" xfId="0" applyBorder="1" applyFont="1" applyNumberFormat="1"/>
    <xf borderId="23" fillId="0" fontId="63" numFmtId="164" xfId="0" applyAlignment="1" applyBorder="1" applyFont="1" applyNumberFormat="1">
      <alignment horizontal="center"/>
    </xf>
    <xf borderId="0" fillId="0" fontId="60" numFmtId="164" xfId="0" applyFont="1" applyNumberFormat="1"/>
    <xf borderId="35" fillId="0" fontId="16" numFmtId="0" xfId="0" applyBorder="1" applyFont="1"/>
    <xf borderId="36" fillId="0" fontId="16" numFmtId="0" xfId="0" applyBorder="1" applyFont="1"/>
    <xf borderId="37" fillId="0" fontId="16" numFmtId="0" xfId="0" applyBorder="1" applyFont="1"/>
    <xf borderId="38" fillId="0" fontId="16" numFmtId="0" xfId="0" applyBorder="1" applyFont="1"/>
    <xf borderId="36" fillId="0" fontId="56" numFmtId="0" xfId="0" applyAlignment="1" applyBorder="1" applyFont="1">
      <alignment horizontal="right"/>
    </xf>
    <xf borderId="23" fillId="0" fontId="66" numFmtId="164" xfId="0" applyAlignment="1" applyBorder="1" applyFont="1" applyNumberFormat="1">
      <alignment horizontal="center"/>
    </xf>
    <xf borderId="23" fillId="0" fontId="67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8</xdr:row>
      <xdr:rowOff>0</xdr:rowOff>
    </xdr:from>
    <xdr:ext cx="5534025" cy="2019300"/>
    <xdr:pic>
      <xdr:nvPicPr>
        <xdr:cNvPr descr="C:\Users\User\Desktop\Wykresy różnice\M-M  100  St. 100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</xdr:row>
      <xdr:rowOff>0</xdr:rowOff>
    </xdr:from>
    <xdr:ext cx="5534025" cy="2066925"/>
    <xdr:pic>
      <xdr:nvPicPr>
        <xdr:cNvPr descr="C:\Users\User\Desktop\Wykresy różnice\M-M 34  St. 50.png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1.57"/>
    <col customWidth="1" min="2" max="21" width="8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</row>
    <row r="3" ht="14.25" customHeight="1">
      <c r="A3" s="4" t="s">
        <v>1</v>
      </c>
      <c r="B3" s="5"/>
    </row>
    <row r="4" ht="14.25" customHeight="1">
      <c r="A4" s="4" t="s">
        <v>2</v>
      </c>
      <c r="B4" s="5"/>
    </row>
    <row r="5" ht="14.25" customHeight="1">
      <c r="A5" s="4" t="s">
        <v>3</v>
      </c>
      <c r="B5" s="5"/>
    </row>
    <row r="6" ht="14.25" customHeight="1">
      <c r="A6" s="4" t="s">
        <v>4</v>
      </c>
      <c r="B6" s="5"/>
    </row>
    <row r="7" ht="14.25" customHeight="1">
      <c r="A7" s="4" t="s">
        <v>5</v>
      </c>
      <c r="B7" s="5"/>
    </row>
    <row r="8" ht="14.25" customHeight="1">
      <c r="A8" s="4" t="s">
        <v>6</v>
      </c>
      <c r="B8" s="5"/>
    </row>
    <row r="9" ht="14.25" customHeight="1">
      <c r="A9" s="4" t="s">
        <v>7</v>
      </c>
      <c r="B9" s="5"/>
    </row>
    <row r="10" ht="14.25" customHeight="1">
      <c r="A10" s="6" t="s">
        <v>8</v>
      </c>
      <c r="B10" s="7"/>
    </row>
    <row r="11" ht="14.25" customHeight="1">
      <c r="A11" s="6" t="s">
        <v>9</v>
      </c>
      <c r="B11" s="7"/>
    </row>
    <row r="12" ht="14.25" customHeight="1">
      <c r="A12" s="7"/>
    </row>
    <row r="13" ht="14.25" customHeight="1">
      <c r="A13" s="7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M3"/>
    <mergeCell ref="B4:M4"/>
    <mergeCell ref="B5:M5"/>
    <mergeCell ref="B6:M6"/>
    <mergeCell ref="B7:M7"/>
    <mergeCell ref="B8:M8"/>
    <mergeCell ref="B9:M9"/>
    <mergeCell ref="B10:M10"/>
  </mergeCells>
  <hyperlinks>
    <hyperlink display="-1- Uzyski roczne (miesięcznie i kwartalnie) z instalacji DTS Mini-Max od 17 maj 2022 rok. " location="'-1-'!A1" ref="A3"/>
    <hyperlink display="-2- Różnice w generowanej mocy (co pół godziny) pomiędzy instalacją statyczną a DTS Mini-Max.  Nie mylić z uzyskiem." location="'-2-'!A1" ref="A4"/>
    <hyperlink display="-3- Odległości między DTS Mini-Max z wyliczeniem powierzchni dla skali." location="'-3-'!A1" ref="A5"/>
    <hyperlink display="-4- Do obliczenia ROE dla instalacji wolnostojących mała skala." location="'-4-'!A1" ref="A6"/>
    <hyperlink display="-5- Do obliczenia ROE dla instalacji w skali dla  0,7  i  1  MWp" location="'-5-'!A1" ref="A7"/>
    <hyperlink display="-6- Koszt postawienia instalacji wolnostojących." location="'-6-'!A1" ref="A8"/>
    <hyperlink display="-7- Koszt postawienia instalacji w skali dla  0,7  i  1  MWp" location="'-7-'!A1" ref="A9"/>
    <hyperlink display="-8- Finansowanie 50 kWp" location="'-8-'!A1" ref="A10"/>
    <hyperlink display="-9- Finansowanie Farm" location="'-9-'!A1" ref="A11"/>
  </hyperlink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5.29"/>
    <col customWidth="1" min="3" max="3" width="16.0"/>
    <col customWidth="1" min="4" max="4" width="13.57"/>
    <col customWidth="1" min="5" max="5" width="16.14"/>
    <col customWidth="1" min="6" max="6" width="12.86"/>
    <col customWidth="1" min="7" max="7" width="10.14"/>
    <col customWidth="1" min="8" max="8" width="1.29"/>
    <col customWidth="1" min="9" max="10" width="11.86"/>
    <col customWidth="1" min="11" max="11" width="14.43"/>
    <col customWidth="1" min="12" max="12" width="21.57"/>
  </cols>
  <sheetData>
    <row r="1" ht="33.75" customHeight="1">
      <c r="A1" s="222" t="s">
        <v>155</v>
      </c>
      <c r="B1" s="223">
        <v>3400000.0</v>
      </c>
      <c r="C1" s="10"/>
      <c r="D1" s="224" t="s">
        <v>156</v>
      </c>
      <c r="E1" s="9"/>
      <c r="F1" s="10"/>
      <c r="G1" s="225">
        <v>1.0</v>
      </c>
      <c r="H1" s="226"/>
      <c r="I1" s="227" t="s">
        <v>115</v>
      </c>
      <c r="J1" s="228" t="s">
        <v>157</v>
      </c>
    </row>
    <row r="2" ht="14.25" customHeight="1">
      <c r="H2" s="229"/>
    </row>
    <row r="3" ht="14.25" customHeight="1">
      <c r="C3" s="11" t="s">
        <v>158</v>
      </c>
      <c r="D3" s="11" t="s">
        <v>63</v>
      </c>
      <c r="E3" s="11" t="s">
        <v>159</v>
      </c>
      <c r="F3" s="11" t="s">
        <v>160</v>
      </c>
      <c r="H3" s="229"/>
      <c r="I3" s="11" t="s">
        <v>161</v>
      </c>
      <c r="J3" s="11" t="s">
        <v>118</v>
      </c>
      <c r="K3" s="11" t="s">
        <v>161</v>
      </c>
      <c r="L3" s="11" t="s">
        <v>162</v>
      </c>
    </row>
    <row r="4" ht="14.25" customHeight="1">
      <c r="A4" s="230" t="s">
        <v>163</v>
      </c>
      <c r="B4" s="10"/>
      <c r="D4" s="231">
        <v>5.0</v>
      </c>
      <c r="E4" s="43"/>
      <c r="F4" s="7" t="s">
        <v>164</v>
      </c>
      <c r="H4" s="229"/>
      <c r="I4" s="11" t="s">
        <v>165</v>
      </c>
      <c r="J4" s="232" t="s">
        <v>96</v>
      </c>
      <c r="K4" s="233" t="s">
        <v>118</v>
      </c>
      <c r="L4" s="234" t="s">
        <v>96</v>
      </c>
    </row>
    <row r="5" ht="14.25" customHeight="1">
      <c r="D5" s="235">
        <f>D4/1200</f>
        <v>0.004166666667</v>
      </c>
      <c r="H5" s="229"/>
      <c r="I5" s="219"/>
      <c r="J5" s="35"/>
    </row>
    <row r="6" ht="15.0" customHeight="1">
      <c r="A6" s="7"/>
      <c r="B6" s="13" t="s">
        <v>22</v>
      </c>
      <c r="C6" s="236">
        <f>B1/120</f>
        <v>28333.33333</v>
      </c>
      <c r="D6" s="237">
        <f>B1*D5</f>
        <v>14166.66667</v>
      </c>
      <c r="E6" s="238">
        <f t="shared" ref="E6:E17" si="1">C6+D6</f>
        <v>42500</v>
      </c>
      <c r="F6" s="35">
        <f>B1-C6</f>
        <v>3371666.667</v>
      </c>
      <c r="H6" s="229"/>
      <c r="I6" s="35"/>
      <c r="J6" s="274">
        <v>500.0</v>
      </c>
      <c r="K6" s="19">
        <f>I19</f>
        <v>1450</v>
      </c>
      <c r="L6" s="238">
        <f>J6*K6</f>
        <v>725000</v>
      </c>
    </row>
    <row r="7" ht="15.0" customHeight="1">
      <c r="A7" s="7"/>
      <c r="B7" s="13" t="s">
        <v>166</v>
      </c>
      <c r="C7" s="238">
        <f>C6</f>
        <v>28333.33333</v>
      </c>
      <c r="D7" s="237">
        <f>F6*D5</f>
        <v>14048.61111</v>
      </c>
      <c r="E7" s="238">
        <f t="shared" si="1"/>
        <v>42381.94444</v>
      </c>
      <c r="F7" s="35">
        <f t="shared" ref="F7:F17" si="2">F6-C7</f>
        <v>3343333.333</v>
      </c>
      <c r="H7" s="229"/>
      <c r="I7" s="35"/>
      <c r="J7" s="240"/>
    </row>
    <row r="8" ht="14.25" customHeight="1">
      <c r="A8" s="7"/>
      <c r="B8" s="13" t="s">
        <v>24</v>
      </c>
      <c r="C8" s="238">
        <f>C6</f>
        <v>28333.33333</v>
      </c>
      <c r="D8" s="237">
        <f>F7*D5</f>
        <v>13930.55556</v>
      </c>
      <c r="E8" s="238">
        <f t="shared" si="1"/>
        <v>42263.88889</v>
      </c>
      <c r="F8" s="35">
        <f t="shared" si="2"/>
        <v>3315000</v>
      </c>
      <c r="H8" s="229"/>
      <c r="I8" s="35"/>
      <c r="L8" s="241" t="s">
        <v>104</v>
      </c>
    </row>
    <row r="9" ht="15.0" customHeight="1">
      <c r="A9" s="7"/>
      <c r="B9" s="13" t="s">
        <v>167</v>
      </c>
      <c r="C9" s="238">
        <f>C6</f>
        <v>28333.33333</v>
      </c>
      <c r="D9" s="237">
        <f>F8*D5</f>
        <v>13812.5</v>
      </c>
      <c r="E9" s="238">
        <f t="shared" si="1"/>
        <v>42145.83333</v>
      </c>
      <c r="F9" s="35">
        <f t="shared" si="2"/>
        <v>3286666.667</v>
      </c>
      <c r="H9" s="229"/>
      <c r="I9" s="35"/>
      <c r="J9" s="238"/>
      <c r="K9" s="193" t="s">
        <v>168</v>
      </c>
      <c r="L9" s="238">
        <f>E19</f>
        <v>502208.3333</v>
      </c>
    </row>
    <row r="10" ht="14.25" customHeight="1">
      <c r="A10" s="242">
        <v>1.0</v>
      </c>
      <c r="B10" s="13" t="s">
        <v>28</v>
      </c>
      <c r="C10" s="238">
        <f>C6</f>
        <v>28333.33333</v>
      </c>
      <c r="D10" s="237">
        <f>F9*D5</f>
        <v>13694.44444</v>
      </c>
      <c r="E10" s="238">
        <f t="shared" si="1"/>
        <v>42027.77778</v>
      </c>
      <c r="F10" s="35">
        <f t="shared" si="2"/>
        <v>3258333.333</v>
      </c>
      <c r="H10" s="229"/>
      <c r="I10" s="35"/>
      <c r="K10" s="193" t="s">
        <v>169</v>
      </c>
      <c r="L10" s="243">
        <v>100000.0</v>
      </c>
    </row>
    <row r="11" ht="14.25" customHeight="1">
      <c r="A11" s="244"/>
      <c r="B11" s="13" t="s">
        <v>31</v>
      </c>
      <c r="C11" s="238">
        <f>C6</f>
        <v>28333.33333</v>
      </c>
      <c r="D11" s="237">
        <f>F10*D5</f>
        <v>13576.38889</v>
      </c>
      <c r="E11" s="238">
        <f t="shared" si="1"/>
        <v>41909.72222</v>
      </c>
      <c r="F11" s="35">
        <f t="shared" si="2"/>
        <v>3230000</v>
      </c>
      <c r="H11" s="229"/>
      <c r="I11" s="35"/>
      <c r="J11" s="219"/>
      <c r="K11" s="212" t="s">
        <v>159</v>
      </c>
      <c r="L11" s="236">
        <f>L9+L10</f>
        <v>602208.3333</v>
      </c>
    </row>
    <row r="12" ht="14.25" customHeight="1">
      <c r="A12" s="244"/>
      <c r="B12" s="13" t="s">
        <v>32</v>
      </c>
      <c r="C12" s="238">
        <f>C6</f>
        <v>28333.33333</v>
      </c>
      <c r="D12" s="245">
        <f>F11*D5</f>
        <v>13458.33333</v>
      </c>
      <c r="E12" s="238">
        <f t="shared" si="1"/>
        <v>41791.66667</v>
      </c>
      <c r="F12" s="35">
        <f t="shared" si="2"/>
        <v>3201666.667</v>
      </c>
      <c r="H12" s="229"/>
      <c r="I12" s="35"/>
    </row>
    <row r="13" ht="14.25" customHeight="1">
      <c r="A13" s="246"/>
      <c r="B13" s="13" t="s">
        <v>170</v>
      </c>
      <c r="C13" s="238">
        <f>C6</f>
        <v>28333.33333</v>
      </c>
      <c r="D13" s="245">
        <f>F12*D5</f>
        <v>13340.27778</v>
      </c>
      <c r="E13" s="238">
        <f t="shared" si="1"/>
        <v>41673.61111</v>
      </c>
      <c r="F13" s="35">
        <f t="shared" si="2"/>
        <v>3173333.333</v>
      </c>
      <c r="H13" s="229"/>
      <c r="I13" s="35"/>
      <c r="L13" s="247">
        <f>L6-L11</f>
        <v>122791.6667</v>
      </c>
    </row>
    <row r="14" ht="14.25" customHeight="1">
      <c r="A14" s="7"/>
      <c r="B14" s="13" t="s">
        <v>35</v>
      </c>
      <c r="C14" s="238">
        <f>C6</f>
        <v>28333.33333</v>
      </c>
      <c r="D14" s="245">
        <f>F13*D5</f>
        <v>13222.22222</v>
      </c>
      <c r="E14" s="238">
        <f t="shared" si="1"/>
        <v>41555.55556</v>
      </c>
      <c r="F14" s="35">
        <f t="shared" si="2"/>
        <v>3145000</v>
      </c>
      <c r="H14" s="229"/>
      <c r="I14" s="35"/>
      <c r="L14" s="246"/>
    </row>
    <row r="15" ht="14.25" customHeight="1">
      <c r="A15" s="7"/>
      <c r="B15" s="13" t="s">
        <v>171</v>
      </c>
      <c r="C15" s="238">
        <f>C6</f>
        <v>28333.33333</v>
      </c>
      <c r="D15" s="245">
        <f>F14*D5</f>
        <v>13104.16667</v>
      </c>
      <c r="E15" s="238">
        <f t="shared" si="1"/>
        <v>41437.5</v>
      </c>
      <c r="F15" s="35">
        <f t="shared" si="2"/>
        <v>3116666.667</v>
      </c>
      <c r="H15" s="229"/>
      <c r="I15" s="248" t="s">
        <v>172</v>
      </c>
    </row>
    <row r="16" ht="14.25" customHeight="1">
      <c r="A16" s="7"/>
      <c r="B16" s="13" t="s">
        <v>37</v>
      </c>
      <c r="C16" s="238">
        <f>C6</f>
        <v>28333.33333</v>
      </c>
      <c r="D16" s="245">
        <f>F15*D5</f>
        <v>12986.11111</v>
      </c>
      <c r="E16" s="238">
        <f t="shared" si="1"/>
        <v>41319.44444</v>
      </c>
      <c r="F16" s="35">
        <f t="shared" si="2"/>
        <v>3088333.333</v>
      </c>
      <c r="H16" s="229"/>
      <c r="I16" s="248" t="s">
        <v>99</v>
      </c>
      <c r="K16" s="249"/>
      <c r="L16" s="35"/>
    </row>
    <row r="17" ht="15.0" customHeight="1">
      <c r="A17" s="7"/>
      <c r="B17" s="13" t="s">
        <v>39</v>
      </c>
      <c r="C17" s="238">
        <f>C6</f>
        <v>28333.33333</v>
      </c>
      <c r="D17" s="245">
        <f>F16*D5</f>
        <v>12868.05556</v>
      </c>
      <c r="E17" s="238">
        <f t="shared" si="1"/>
        <v>41201.38889</v>
      </c>
      <c r="F17" s="250">
        <f t="shared" si="2"/>
        <v>3060000</v>
      </c>
      <c r="H17" s="229"/>
      <c r="I17" s="19">
        <v>400.0</v>
      </c>
      <c r="K17" s="43"/>
      <c r="L17" s="35"/>
    </row>
    <row r="18" ht="15.0" customHeight="1">
      <c r="C18" s="240"/>
      <c r="H18" s="229"/>
      <c r="K18" s="249"/>
      <c r="L18" s="43"/>
    </row>
    <row r="19" ht="14.25" customHeight="1">
      <c r="B19" s="193" t="s">
        <v>159</v>
      </c>
      <c r="C19" s="238">
        <f t="shared" ref="C19:E19" si="3">SUM(C6:C18)</f>
        <v>340000</v>
      </c>
      <c r="D19" s="238">
        <f t="shared" si="3"/>
        <v>162208.3333</v>
      </c>
      <c r="E19" s="251">
        <f t="shared" si="3"/>
        <v>502208.3333</v>
      </c>
      <c r="F19" s="252">
        <f>E19/I19</f>
        <v>346.3505747</v>
      </c>
      <c r="G19" s="253" t="s">
        <v>185</v>
      </c>
      <c r="H19" s="229"/>
      <c r="I19" s="254">
        <v>1450.0</v>
      </c>
      <c r="K19" s="193" t="s">
        <v>174</v>
      </c>
      <c r="L19" s="275">
        <f>L11/K6</f>
        <v>415.316092</v>
      </c>
    </row>
    <row r="20" ht="14.25" customHeight="1">
      <c r="C20" s="240"/>
      <c r="H20" s="229"/>
      <c r="I20" s="233" t="s">
        <v>186</v>
      </c>
      <c r="K20" s="193" t="s">
        <v>187</v>
      </c>
      <c r="L20" s="246"/>
    </row>
    <row r="21" ht="14.25" customHeight="1">
      <c r="A21" s="229"/>
      <c r="B21" s="229"/>
      <c r="C21" s="256"/>
      <c r="D21" s="229"/>
      <c r="E21" s="229"/>
      <c r="F21" s="229"/>
      <c r="G21" s="229"/>
      <c r="H21" s="229"/>
      <c r="I21" s="257"/>
      <c r="J21" s="229"/>
      <c r="K21" s="229"/>
      <c r="L21" s="229"/>
    </row>
    <row r="22" ht="14.25" customHeight="1">
      <c r="C22" s="240"/>
      <c r="H22" s="229"/>
      <c r="I22" s="233"/>
      <c r="J22" s="11" t="s">
        <v>118</v>
      </c>
      <c r="K22" s="11" t="s">
        <v>161</v>
      </c>
      <c r="L22" s="11" t="s">
        <v>162</v>
      </c>
    </row>
    <row r="23" ht="14.25" customHeight="1">
      <c r="C23" s="240"/>
      <c r="H23" s="229"/>
      <c r="I23" s="233"/>
      <c r="J23" s="232" t="s">
        <v>96</v>
      </c>
      <c r="K23" s="233" t="s">
        <v>118</v>
      </c>
      <c r="L23" s="234" t="s">
        <v>96</v>
      </c>
    </row>
    <row r="24" ht="14.25" customHeight="1">
      <c r="D24" s="235">
        <f>D5</f>
        <v>0.004166666667</v>
      </c>
      <c r="H24" s="229"/>
      <c r="J24" s="35"/>
    </row>
    <row r="25" ht="14.25" customHeight="1">
      <c r="A25" s="7"/>
      <c r="B25" s="13" t="s">
        <v>22</v>
      </c>
      <c r="C25" s="238">
        <f>C6</f>
        <v>28333.33333</v>
      </c>
      <c r="D25" s="237">
        <f>F17*D24</f>
        <v>12750</v>
      </c>
      <c r="E25" s="238">
        <f t="shared" ref="E25:E36" si="5">C25+D25</f>
        <v>41083.33333</v>
      </c>
      <c r="F25" s="35">
        <f>F17-C25</f>
        <v>3031666.667</v>
      </c>
      <c r="H25" s="229"/>
      <c r="J25" s="276">
        <f t="shared" ref="J25:K25" si="4">J6</f>
        <v>500</v>
      </c>
      <c r="K25" s="19">
        <f t="shared" si="4"/>
        <v>1450</v>
      </c>
      <c r="L25" s="238">
        <f>J25*K25</f>
        <v>725000</v>
      </c>
    </row>
    <row r="26" ht="14.25" customHeight="1">
      <c r="A26" s="7"/>
      <c r="B26" s="13" t="s">
        <v>166</v>
      </c>
      <c r="C26" s="238">
        <f>C6</f>
        <v>28333.33333</v>
      </c>
      <c r="D26" s="237">
        <f>F25*D24</f>
        <v>12631.94444</v>
      </c>
      <c r="E26" s="238">
        <f t="shared" si="5"/>
        <v>40965.27778</v>
      </c>
      <c r="F26" s="35">
        <f t="shared" ref="F26:F36" si="6">F25-C26</f>
        <v>3003333.333</v>
      </c>
      <c r="H26" s="229"/>
      <c r="J26" s="240"/>
    </row>
    <row r="27" ht="14.25" customHeight="1">
      <c r="A27" s="7"/>
      <c r="B27" s="13" t="s">
        <v>24</v>
      </c>
      <c r="C27" s="238">
        <f>C6</f>
        <v>28333.33333</v>
      </c>
      <c r="D27" s="237">
        <f>F26*D24</f>
        <v>12513.88889</v>
      </c>
      <c r="E27" s="238">
        <f t="shared" si="5"/>
        <v>40847.22222</v>
      </c>
      <c r="F27" s="35">
        <f t="shared" si="6"/>
        <v>2975000</v>
      </c>
      <c r="H27" s="229"/>
      <c r="L27" s="241" t="s">
        <v>104</v>
      </c>
    </row>
    <row r="28" ht="15.0" customHeight="1">
      <c r="A28" s="7"/>
      <c r="B28" s="13" t="s">
        <v>167</v>
      </c>
      <c r="C28" s="238">
        <f>C6</f>
        <v>28333.33333</v>
      </c>
      <c r="D28" s="237">
        <f>F27*D24</f>
        <v>12395.83333</v>
      </c>
      <c r="E28" s="238">
        <f t="shared" si="5"/>
        <v>40729.16667</v>
      </c>
      <c r="F28" s="35">
        <f t="shared" si="6"/>
        <v>2946666.667</v>
      </c>
      <c r="H28" s="229"/>
      <c r="J28" s="238"/>
      <c r="K28" s="193" t="s">
        <v>168</v>
      </c>
      <c r="L28" s="238">
        <f>E38</f>
        <v>485208.3333</v>
      </c>
    </row>
    <row r="29" ht="14.25" customHeight="1">
      <c r="A29" s="242">
        <v>2.0</v>
      </c>
      <c r="B29" s="13" t="s">
        <v>28</v>
      </c>
      <c r="C29" s="238">
        <f>C6</f>
        <v>28333.33333</v>
      </c>
      <c r="D29" s="237">
        <f>F28*D24</f>
        <v>12277.77778</v>
      </c>
      <c r="E29" s="238">
        <f t="shared" si="5"/>
        <v>40611.11111</v>
      </c>
      <c r="F29" s="35">
        <f t="shared" si="6"/>
        <v>2918333.333</v>
      </c>
      <c r="H29" s="229"/>
      <c r="K29" s="193" t="s">
        <v>169</v>
      </c>
      <c r="L29" s="238">
        <f>L10</f>
        <v>100000</v>
      </c>
    </row>
    <row r="30" ht="14.25" customHeight="1">
      <c r="A30" s="244"/>
      <c r="B30" s="13" t="s">
        <v>31</v>
      </c>
      <c r="C30" s="238">
        <f>C6</f>
        <v>28333.33333</v>
      </c>
      <c r="D30" s="237">
        <f>F29*D24</f>
        <v>12159.72222</v>
      </c>
      <c r="E30" s="238">
        <f t="shared" si="5"/>
        <v>40493.05556</v>
      </c>
      <c r="F30" s="35">
        <f t="shared" si="6"/>
        <v>2890000</v>
      </c>
      <c r="H30" s="229"/>
      <c r="J30" s="219"/>
      <c r="K30" s="212" t="s">
        <v>159</v>
      </c>
      <c r="L30" s="236">
        <f>L28+L29</f>
        <v>585208.3333</v>
      </c>
    </row>
    <row r="31" ht="14.25" customHeight="1">
      <c r="A31" s="244"/>
      <c r="B31" s="13" t="s">
        <v>32</v>
      </c>
      <c r="C31" s="238">
        <f>C6</f>
        <v>28333.33333</v>
      </c>
      <c r="D31" s="245">
        <f>F30*D24</f>
        <v>12041.66667</v>
      </c>
      <c r="E31" s="238">
        <f t="shared" si="5"/>
        <v>40375</v>
      </c>
      <c r="F31" s="35">
        <f t="shared" si="6"/>
        <v>2861666.667</v>
      </c>
      <c r="H31" s="229"/>
    </row>
    <row r="32" ht="15.0" customHeight="1">
      <c r="A32" s="246"/>
      <c r="B32" s="13" t="s">
        <v>170</v>
      </c>
      <c r="C32" s="238">
        <f>C6</f>
        <v>28333.33333</v>
      </c>
      <c r="D32" s="245">
        <f>F31*D24</f>
        <v>11923.61111</v>
      </c>
      <c r="E32" s="238">
        <f t="shared" si="5"/>
        <v>40256.94444</v>
      </c>
      <c r="F32" s="35">
        <f t="shared" si="6"/>
        <v>2833333.333</v>
      </c>
      <c r="H32" s="229"/>
      <c r="L32" s="247">
        <f>L25-L30</f>
        <v>139791.6667</v>
      </c>
    </row>
    <row r="33" ht="15.0" customHeight="1">
      <c r="A33" s="7"/>
      <c r="B33" s="13" t="s">
        <v>35</v>
      </c>
      <c r="C33" s="238">
        <f>C6</f>
        <v>28333.33333</v>
      </c>
      <c r="D33" s="245">
        <f>F32*D24</f>
        <v>11805.55556</v>
      </c>
      <c r="E33" s="238">
        <f t="shared" si="5"/>
        <v>40138.88889</v>
      </c>
      <c r="F33" s="35">
        <f t="shared" si="6"/>
        <v>2805000</v>
      </c>
      <c r="H33" s="229"/>
      <c r="L33" s="246"/>
    </row>
    <row r="34" ht="14.25" customHeight="1">
      <c r="A34" s="7"/>
      <c r="B34" s="13" t="s">
        <v>171</v>
      </c>
      <c r="C34" s="238">
        <f>C6</f>
        <v>28333.33333</v>
      </c>
      <c r="D34" s="245">
        <f>F33*D24</f>
        <v>11687.5</v>
      </c>
      <c r="E34" s="238">
        <f t="shared" si="5"/>
        <v>40020.83333</v>
      </c>
      <c r="F34" s="35">
        <f t="shared" si="6"/>
        <v>2776666.667</v>
      </c>
      <c r="H34" s="229"/>
      <c r="I34" s="248" t="s">
        <v>172</v>
      </c>
    </row>
    <row r="35" ht="15.0" customHeight="1">
      <c r="A35" s="7"/>
      <c r="B35" s="13" t="s">
        <v>37</v>
      </c>
      <c r="C35" s="238">
        <f>C6</f>
        <v>28333.33333</v>
      </c>
      <c r="D35" s="245">
        <f>F34*D24</f>
        <v>11569.44444</v>
      </c>
      <c r="E35" s="238">
        <f t="shared" si="5"/>
        <v>39902.77778</v>
      </c>
      <c r="F35" s="35">
        <f t="shared" si="6"/>
        <v>2748333.333</v>
      </c>
      <c r="H35" s="229"/>
      <c r="I35" s="248" t="s">
        <v>99</v>
      </c>
      <c r="K35" s="249"/>
      <c r="L35" s="35"/>
    </row>
    <row r="36" ht="15.0" customHeight="1">
      <c r="A36" s="7"/>
      <c r="B36" s="13" t="s">
        <v>39</v>
      </c>
      <c r="C36" s="238">
        <f>C6</f>
        <v>28333.33333</v>
      </c>
      <c r="D36" s="245">
        <f>F35*D24</f>
        <v>11451.38889</v>
      </c>
      <c r="E36" s="238">
        <f t="shared" si="5"/>
        <v>39784.72222</v>
      </c>
      <c r="F36" s="250">
        <f t="shared" si="6"/>
        <v>2720000</v>
      </c>
      <c r="H36" s="229"/>
      <c r="I36" s="19">
        <f>I17</f>
        <v>400</v>
      </c>
      <c r="K36" s="43"/>
      <c r="L36" s="35"/>
    </row>
    <row r="37" ht="15.0" customHeight="1">
      <c r="C37" s="240"/>
      <c r="H37" s="229"/>
      <c r="K37" s="249"/>
      <c r="L37" s="43"/>
    </row>
    <row r="38" ht="18.75" customHeight="1">
      <c r="B38" s="193" t="s">
        <v>159</v>
      </c>
      <c r="C38" s="238">
        <f t="shared" ref="C38:E38" si="7">SUM(C25:C37)</f>
        <v>340000</v>
      </c>
      <c r="D38" s="238">
        <f t="shared" si="7"/>
        <v>145208.3333</v>
      </c>
      <c r="E38" s="251">
        <f t="shared" si="7"/>
        <v>485208.3333</v>
      </c>
      <c r="F38" s="252">
        <f>E38/I19</f>
        <v>334.6264368</v>
      </c>
      <c r="G38" s="253" t="s">
        <v>185</v>
      </c>
      <c r="H38" s="229"/>
      <c r="I38" s="33">
        <f>I19</f>
        <v>1450</v>
      </c>
      <c r="K38" s="193" t="s">
        <v>174</v>
      </c>
      <c r="L38" s="275">
        <f>L30/K25</f>
        <v>403.591954</v>
      </c>
    </row>
    <row r="39" ht="15.0" customHeight="1">
      <c r="C39" s="240"/>
      <c r="H39" s="229"/>
      <c r="I39" s="233" t="s">
        <v>186</v>
      </c>
      <c r="K39" s="193" t="s">
        <v>187</v>
      </c>
      <c r="L39" s="246"/>
    </row>
    <row r="40" ht="14.25" customHeight="1">
      <c r="A40" s="229"/>
      <c r="B40" s="229"/>
      <c r="C40" s="256"/>
      <c r="D40" s="229"/>
      <c r="E40" s="229"/>
      <c r="F40" s="229"/>
      <c r="G40" s="229"/>
      <c r="H40" s="229"/>
      <c r="I40" s="229"/>
      <c r="J40" s="229"/>
      <c r="K40" s="229"/>
      <c r="L40" s="229"/>
    </row>
    <row r="41" ht="14.25" customHeight="1">
      <c r="C41" s="240"/>
      <c r="H41" s="229"/>
      <c r="J41" s="11" t="s">
        <v>118</v>
      </c>
      <c r="K41" s="11" t="s">
        <v>161</v>
      </c>
      <c r="L41" s="11" t="s">
        <v>162</v>
      </c>
    </row>
    <row r="42" ht="14.25" customHeight="1">
      <c r="C42" s="240"/>
      <c r="H42" s="229"/>
      <c r="J42" s="232" t="s">
        <v>96</v>
      </c>
      <c r="K42" s="233" t="s">
        <v>118</v>
      </c>
      <c r="L42" s="234" t="s">
        <v>96</v>
      </c>
    </row>
    <row r="43" ht="14.25" customHeight="1">
      <c r="D43" s="235">
        <f>D5</f>
        <v>0.004166666667</v>
      </c>
      <c r="H43" s="229"/>
      <c r="J43" s="35"/>
    </row>
    <row r="44" ht="14.25" customHeight="1">
      <c r="A44" s="7"/>
      <c r="B44" s="13" t="s">
        <v>22</v>
      </c>
      <c r="C44" s="238">
        <f>C6</f>
        <v>28333.33333</v>
      </c>
      <c r="D44" s="237">
        <f>F36*D43</f>
        <v>11333.33333</v>
      </c>
      <c r="E44" s="238">
        <f t="shared" ref="E44:E55" si="9">C44+D44</f>
        <v>39666.66667</v>
      </c>
      <c r="F44" s="35">
        <f>F36-C44</f>
        <v>2691666.667</v>
      </c>
      <c r="H44" s="229"/>
      <c r="J44" s="276">
        <f t="shared" ref="J44:K44" si="8">J6</f>
        <v>500</v>
      </c>
      <c r="K44" s="19">
        <f t="shared" si="8"/>
        <v>1450</v>
      </c>
      <c r="L44" s="238">
        <f>J44*K44</f>
        <v>725000</v>
      </c>
    </row>
    <row r="45" ht="14.25" customHeight="1">
      <c r="A45" s="7"/>
      <c r="B45" s="13" t="s">
        <v>166</v>
      </c>
      <c r="C45" s="238">
        <f>C6</f>
        <v>28333.33333</v>
      </c>
      <c r="D45" s="237">
        <f>F44*D43</f>
        <v>11215.27778</v>
      </c>
      <c r="E45" s="238">
        <f t="shared" si="9"/>
        <v>39548.61111</v>
      </c>
      <c r="F45" s="35">
        <f t="shared" ref="F45:F55" si="10">F44-C45</f>
        <v>2663333.333</v>
      </c>
      <c r="H45" s="229"/>
      <c r="J45" s="240"/>
    </row>
    <row r="46" ht="14.25" customHeight="1">
      <c r="A46" s="7"/>
      <c r="B46" s="13" t="s">
        <v>24</v>
      </c>
      <c r="C46" s="238">
        <f>C6</f>
        <v>28333.33333</v>
      </c>
      <c r="D46" s="237">
        <f>F45*D43</f>
        <v>11097.22222</v>
      </c>
      <c r="E46" s="238">
        <f t="shared" si="9"/>
        <v>39430.55556</v>
      </c>
      <c r="F46" s="35">
        <f t="shared" si="10"/>
        <v>2635000</v>
      </c>
      <c r="H46" s="229"/>
      <c r="L46" s="241" t="s">
        <v>104</v>
      </c>
    </row>
    <row r="47" ht="15.0" customHeight="1">
      <c r="A47" s="7"/>
      <c r="B47" s="13" t="s">
        <v>167</v>
      </c>
      <c r="C47" s="238">
        <f>C6</f>
        <v>28333.33333</v>
      </c>
      <c r="D47" s="237">
        <f>F46*D43</f>
        <v>10979.16667</v>
      </c>
      <c r="E47" s="238">
        <f t="shared" si="9"/>
        <v>39312.5</v>
      </c>
      <c r="F47" s="35">
        <f t="shared" si="10"/>
        <v>2606666.667</v>
      </c>
      <c r="H47" s="229"/>
      <c r="J47" s="238"/>
      <c r="K47" s="193" t="s">
        <v>168</v>
      </c>
      <c r="L47" s="238">
        <f>E57</f>
        <v>468208.3333</v>
      </c>
    </row>
    <row r="48" ht="14.25" customHeight="1">
      <c r="A48" s="242">
        <v>3.0</v>
      </c>
      <c r="B48" s="13" t="s">
        <v>28</v>
      </c>
      <c r="C48" s="238">
        <f>C6</f>
        <v>28333.33333</v>
      </c>
      <c r="D48" s="237">
        <f>F47*D43</f>
        <v>10861.11111</v>
      </c>
      <c r="E48" s="238">
        <f t="shared" si="9"/>
        <v>39194.44444</v>
      </c>
      <c r="F48" s="35">
        <f t="shared" si="10"/>
        <v>2578333.333</v>
      </c>
      <c r="H48" s="229"/>
      <c r="K48" s="193" t="s">
        <v>169</v>
      </c>
      <c r="L48" s="238">
        <f>L10</f>
        <v>100000</v>
      </c>
    </row>
    <row r="49" ht="14.25" customHeight="1">
      <c r="A49" s="244"/>
      <c r="B49" s="13" t="s">
        <v>31</v>
      </c>
      <c r="C49" s="238">
        <f>C6</f>
        <v>28333.33333</v>
      </c>
      <c r="D49" s="237">
        <f>F48*D43</f>
        <v>10743.05556</v>
      </c>
      <c r="E49" s="238">
        <f t="shared" si="9"/>
        <v>39076.38889</v>
      </c>
      <c r="F49" s="35">
        <f t="shared" si="10"/>
        <v>2550000</v>
      </c>
      <c r="H49" s="229"/>
      <c r="J49" s="219"/>
      <c r="K49" s="212" t="s">
        <v>159</v>
      </c>
      <c r="L49" s="236">
        <f>L47+L48</f>
        <v>568208.3333</v>
      </c>
    </row>
    <row r="50" ht="14.25" customHeight="1">
      <c r="A50" s="244"/>
      <c r="B50" s="13" t="s">
        <v>32</v>
      </c>
      <c r="C50" s="238">
        <f>C6</f>
        <v>28333.33333</v>
      </c>
      <c r="D50" s="245">
        <f>F49*D43</f>
        <v>10625</v>
      </c>
      <c r="E50" s="238">
        <f t="shared" si="9"/>
        <v>38958.33333</v>
      </c>
      <c r="F50" s="35">
        <f t="shared" si="10"/>
        <v>2521666.667</v>
      </c>
      <c r="H50" s="229"/>
    </row>
    <row r="51" ht="15.0" customHeight="1">
      <c r="A51" s="246"/>
      <c r="B51" s="13" t="s">
        <v>170</v>
      </c>
      <c r="C51" s="238">
        <f>C6</f>
        <v>28333.33333</v>
      </c>
      <c r="D51" s="245">
        <f>F50*D43</f>
        <v>10506.94444</v>
      </c>
      <c r="E51" s="238">
        <f t="shared" si="9"/>
        <v>38840.27778</v>
      </c>
      <c r="F51" s="35">
        <f t="shared" si="10"/>
        <v>2493333.333</v>
      </c>
      <c r="H51" s="229"/>
      <c r="L51" s="247">
        <f>L44-L49</f>
        <v>156791.6667</v>
      </c>
    </row>
    <row r="52" ht="15.0" customHeight="1">
      <c r="A52" s="7"/>
      <c r="B52" s="13" t="s">
        <v>35</v>
      </c>
      <c r="C52" s="238">
        <f>C6</f>
        <v>28333.33333</v>
      </c>
      <c r="D52" s="245">
        <f>F51*D43</f>
        <v>10388.88889</v>
      </c>
      <c r="E52" s="238">
        <f t="shared" si="9"/>
        <v>38722.22222</v>
      </c>
      <c r="F52" s="35">
        <f t="shared" si="10"/>
        <v>2465000</v>
      </c>
      <c r="H52" s="229"/>
      <c r="L52" s="246"/>
    </row>
    <row r="53" ht="14.25" customHeight="1">
      <c r="A53" s="7"/>
      <c r="B53" s="13" t="s">
        <v>171</v>
      </c>
      <c r="C53" s="238">
        <f>C6</f>
        <v>28333.33333</v>
      </c>
      <c r="D53" s="245">
        <f>F52*D43</f>
        <v>10270.83333</v>
      </c>
      <c r="E53" s="238">
        <f t="shared" si="9"/>
        <v>38604.16667</v>
      </c>
      <c r="F53" s="35">
        <f t="shared" si="10"/>
        <v>2436666.667</v>
      </c>
      <c r="H53" s="229"/>
      <c r="I53" s="248" t="s">
        <v>172</v>
      </c>
    </row>
    <row r="54" ht="15.0" customHeight="1">
      <c r="A54" s="7"/>
      <c r="B54" s="13" t="s">
        <v>37</v>
      </c>
      <c r="C54" s="238">
        <f>C6</f>
        <v>28333.33333</v>
      </c>
      <c r="D54" s="245">
        <f>F53*D43</f>
        <v>10152.77778</v>
      </c>
      <c r="E54" s="238">
        <f t="shared" si="9"/>
        <v>38486.11111</v>
      </c>
      <c r="F54" s="35">
        <f t="shared" si="10"/>
        <v>2408333.333</v>
      </c>
      <c r="H54" s="229"/>
      <c r="I54" s="248" t="s">
        <v>99</v>
      </c>
      <c r="K54" s="249"/>
      <c r="L54" s="35"/>
    </row>
    <row r="55" ht="15.0" customHeight="1">
      <c r="A55" s="7"/>
      <c r="B55" s="13" t="s">
        <v>39</v>
      </c>
      <c r="C55" s="238">
        <f>C6</f>
        <v>28333.33333</v>
      </c>
      <c r="D55" s="245">
        <f>F54*D43</f>
        <v>10034.72222</v>
      </c>
      <c r="E55" s="238">
        <f t="shared" si="9"/>
        <v>38368.05556</v>
      </c>
      <c r="F55" s="250">
        <f t="shared" si="10"/>
        <v>2380000</v>
      </c>
      <c r="H55" s="229"/>
      <c r="I55" s="19">
        <f>I17</f>
        <v>400</v>
      </c>
      <c r="K55" s="43"/>
      <c r="L55" s="35"/>
    </row>
    <row r="56" ht="15.0" customHeight="1">
      <c r="C56" s="240"/>
      <c r="H56" s="229"/>
      <c r="K56" s="249"/>
      <c r="L56" s="43"/>
    </row>
    <row r="57" ht="18.75" customHeight="1">
      <c r="B57" s="193" t="s">
        <v>159</v>
      </c>
      <c r="C57" s="238">
        <f t="shared" ref="C57:E57" si="11">SUM(C44:C56)</f>
        <v>340000</v>
      </c>
      <c r="D57" s="238">
        <f t="shared" si="11"/>
        <v>128208.3333</v>
      </c>
      <c r="E57" s="251">
        <f t="shared" si="11"/>
        <v>468208.3333</v>
      </c>
      <c r="F57" s="252">
        <f>E57/I19</f>
        <v>322.9022989</v>
      </c>
      <c r="G57" s="253" t="s">
        <v>185</v>
      </c>
      <c r="H57" s="229"/>
      <c r="I57" s="33">
        <f>I19</f>
        <v>1450</v>
      </c>
      <c r="K57" s="193" t="s">
        <v>174</v>
      </c>
      <c r="L57" s="275">
        <f>L49/K44</f>
        <v>391.8678161</v>
      </c>
    </row>
    <row r="58" ht="15.0" customHeight="1">
      <c r="C58" s="240"/>
      <c r="H58" s="229"/>
      <c r="I58" s="233" t="s">
        <v>186</v>
      </c>
      <c r="K58" s="193" t="s">
        <v>187</v>
      </c>
      <c r="L58" s="246"/>
    </row>
    <row r="59" ht="14.25" customHeight="1">
      <c r="A59" s="229"/>
      <c r="B59" s="229"/>
      <c r="C59" s="256"/>
      <c r="D59" s="229"/>
      <c r="E59" s="229"/>
      <c r="F59" s="229"/>
      <c r="G59" s="229"/>
      <c r="H59" s="229"/>
      <c r="I59" s="229"/>
      <c r="J59" s="229"/>
      <c r="K59" s="229"/>
      <c r="L59" s="229"/>
    </row>
    <row r="60" ht="14.25" customHeight="1">
      <c r="C60" s="240"/>
      <c r="H60" s="229"/>
      <c r="J60" s="11" t="s">
        <v>118</v>
      </c>
      <c r="K60" s="11" t="s">
        <v>161</v>
      </c>
      <c r="L60" s="11" t="s">
        <v>162</v>
      </c>
    </row>
    <row r="61" ht="14.25" customHeight="1">
      <c r="C61" s="240"/>
      <c r="H61" s="229"/>
      <c r="J61" s="232" t="s">
        <v>96</v>
      </c>
      <c r="K61" s="233" t="s">
        <v>118</v>
      </c>
      <c r="L61" s="234" t="s">
        <v>96</v>
      </c>
    </row>
    <row r="62" ht="14.25" customHeight="1">
      <c r="D62" s="235">
        <f>D5</f>
        <v>0.004166666667</v>
      </c>
      <c r="H62" s="229"/>
      <c r="J62" s="35"/>
    </row>
    <row r="63" ht="14.25" customHeight="1">
      <c r="A63" s="7"/>
      <c r="B63" s="13" t="s">
        <v>22</v>
      </c>
      <c r="C63" s="238">
        <f>C6</f>
        <v>28333.33333</v>
      </c>
      <c r="D63" s="237">
        <f>F55*D62</f>
        <v>9916.666667</v>
      </c>
      <c r="E63" s="238">
        <f t="shared" ref="E63:E74" si="13">C63+D63</f>
        <v>38250</v>
      </c>
      <c r="F63" s="35">
        <f>F55-C63</f>
        <v>2351666.667</v>
      </c>
      <c r="H63" s="229"/>
      <c r="J63" s="276">
        <f t="shared" ref="J63:K63" si="12">J6</f>
        <v>500</v>
      </c>
      <c r="K63" s="19">
        <f t="shared" si="12"/>
        <v>1450</v>
      </c>
      <c r="L63" s="238">
        <f>J63*K63</f>
        <v>725000</v>
      </c>
    </row>
    <row r="64" ht="14.25" customHeight="1">
      <c r="A64" s="7"/>
      <c r="B64" s="13" t="s">
        <v>166</v>
      </c>
      <c r="C64" s="238">
        <f>C6</f>
        <v>28333.33333</v>
      </c>
      <c r="D64" s="237">
        <f>F63*D62</f>
        <v>9798.611111</v>
      </c>
      <c r="E64" s="238">
        <f t="shared" si="13"/>
        <v>38131.94444</v>
      </c>
      <c r="F64" s="35">
        <f t="shared" ref="F64:F74" si="14">F63-C64</f>
        <v>2323333.333</v>
      </c>
      <c r="H64" s="229"/>
      <c r="J64" s="240"/>
    </row>
    <row r="65" ht="14.25" customHeight="1">
      <c r="A65" s="7"/>
      <c r="B65" s="13" t="s">
        <v>24</v>
      </c>
      <c r="C65" s="238">
        <f>C6</f>
        <v>28333.33333</v>
      </c>
      <c r="D65" s="237">
        <f>F64*D62</f>
        <v>9680.555556</v>
      </c>
      <c r="E65" s="238">
        <f t="shared" si="13"/>
        <v>38013.88889</v>
      </c>
      <c r="F65" s="35">
        <f t="shared" si="14"/>
        <v>2295000</v>
      </c>
      <c r="H65" s="229"/>
      <c r="L65" s="241" t="s">
        <v>104</v>
      </c>
    </row>
    <row r="66" ht="15.0" customHeight="1">
      <c r="A66" s="7"/>
      <c r="B66" s="13" t="s">
        <v>167</v>
      </c>
      <c r="C66" s="238">
        <f>C6</f>
        <v>28333.33333</v>
      </c>
      <c r="D66" s="237">
        <f>F65*D62</f>
        <v>9562.5</v>
      </c>
      <c r="E66" s="238">
        <f t="shared" si="13"/>
        <v>37895.83333</v>
      </c>
      <c r="F66" s="35">
        <f t="shared" si="14"/>
        <v>2266666.667</v>
      </c>
      <c r="H66" s="229"/>
      <c r="J66" s="238"/>
      <c r="K66" s="193" t="s">
        <v>168</v>
      </c>
      <c r="L66" s="238">
        <f>E76</f>
        <v>451208.3333</v>
      </c>
    </row>
    <row r="67" ht="14.25" customHeight="1">
      <c r="A67" s="242">
        <v>4.0</v>
      </c>
      <c r="B67" s="13" t="s">
        <v>28</v>
      </c>
      <c r="C67" s="238">
        <f>C6</f>
        <v>28333.33333</v>
      </c>
      <c r="D67" s="237">
        <f>F66*D62</f>
        <v>9444.444444</v>
      </c>
      <c r="E67" s="238">
        <f t="shared" si="13"/>
        <v>37777.77778</v>
      </c>
      <c r="F67" s="35">
        <f t="shared" si="14"/>
        <v>2238333.333</v>
      </c>
      <c r="H67" s="229"/>
      <c r="K67" s="193" t="s">
        <v>169</v>
      </c>
      <c r="L67" s="238">
        <f>L10</f>
        <v>100000</v>
      </c>
    </row>
    <row r="68" ht="14.25" customHeight="1">
      <c r="A68" s="244"/>
      <c r="B68" s="13" t="s">
        <v>31</v>
      </c>
      <c r="C68" s="238">
        <f>C6</f>
        <v>28333.33333</v>
      </c>
      <c r="D68" s="237">
        <f>F67*D62</f>
        <v>9326.388889</v>
      </c>
      <c r="E68" s="238">
        <f t="shared" si="13"/>
        <v>37659.72222</v>
      </c>
      <c r="F68" s="35">
        <f t="shared" si="14"/>
        <v>2210000</v>
      </c>
      <c r="H68" s="229"/>
      <c r="J68" s="219"/>
      <c r="K68" s="212" t="s">
        <v>159</v>
      </c>
      <c r="L68" s="236">
        <f>L66+L67</f>
        <v>551208.3333</v>
      </c>
    </row>
    <row r="69" ht="14.25" customHeight="1">
      <c r="A69" s="244"/>
      <c r="B69" s="13" t="s">
        <v>32</v>
      </c>
      <c r="C69" s="238">
        <f>C6</f>
        <v>28333.33333</v>
      </c>
      <c r="D69" s="245">
        <f>F68*D62</f>
        <v>9208.333333</v>
      </c>
      <c r="E69" s="238">
        <f t="shared" si="13"/>
        <v>37541.66667</v>
      </c>
      <c r="F69" s="35">
        <f t="shared" si="14"/>
        <v>2181666.667</v>
      </c>
      <c r="H69" s="229"/>
    </row>
    <row r="70" ht="15.0" customHeight="1">
      <c r="A70" s="246"/>
      <c r="B70" s="13" t="s">
        <v>170</v>
      </c>
      <c r="C70" s="238">
        <f>C6</f>
        <v>28333.33333</v>
      </c>
      <c r="D70" s="245">
        <f>F69*D62</f>
        <v>9090.277778</v>
      </c>
      <c r="E70" s="238">
        <f t="shared" si="13"/>
        <v>37423.61111</v>
      </c>
      <c r="F70" s="35">
        <f t="shared" si="14"/>
        <v>2153333.333</v>
      </c>
      <c r="H70" s="229"/>
      <c r="L70" s="247">
        <f>L63-L68</f>
        <v>173791.6667</v>
      </c>
    </row>
    <row r="71" ht="15.0" customHeight="1">
      <c r="A71" s="7"/>
      <c r="B71" s="13" t="s">
        <v>35</v>
      </c>
      <c r="C71" s="238">
        <f>C6</f>
        <v>28333.33333</v>
      </c>
      <c r="D71" s="245">
        <f>F70*D62</f>
        <v>8972.222222</v>
      </c>
      <c r="E71" s="238">
        <f t="shared" si="13"/>
        <v>37305.55556</v>
      </c>
      <c r="F71" s="35">
        <f t="shared" si="14"/>
        <v>2125000</v>
      </c>
      <c r="H71" s="229"/>
      <c r="L71" s="246"/>
    </row>
    <row r="72" ht="14.25" customHeight="1">
      <c r="A72" s="7"/>
      <c r="B72" s="13" t="s">
        <v>171</v>
      </c>
      <c r="C72" s="238">
        <f>C6</f>
        <v>28333.33333</v>
      </c>
      <c r="D72" s="245">
        <f>F71*D62</f>
        <v>8854.166667</v>
      </c>
      <c r="E72" s="238">
        <f t="shared" si="13"/>
        <v>37187.5</v>
      </c>
      <c r="F72" s="35">
        <f t="shared" si="14"/>
        <v>2096666.667</v>
      </c>
      <c r="H72" s="229"/>
      <c r="I72" s="248" t="s">
        <v>172</v>
      </c>
    </row>
    <row r="73" ht="15.0" customHeight="1">
      <c r="A73" s="7"/>
      <c r="B73" s="13" t="s">
        <v>37</v>
      </c>
      <c r="C73" s="238">
        <f>C6</f>
        <v>28333.33333</v>
      </c>
      <c r="D73" s="245">
        <f>F72*D62</f>
        <v>8736.111111</v>
      </c>
      <c r="E73" s="238">
        <f t="shared" si="13"/>
        <v>37069.44444</v>
      </c>
      <c r="F73" s="35">
        <f t="shared" si="14"/>
        <v>2068333.333</v>
      </c>
      <c r="H73" s="229"/>
      <c r="I73" s="248" t="s">
        <v>99</v>
      </c>
      <c r="K73" s="249"/>
      <c r="L73" s="35"/>
    </row>
    <row r="74" ht="15.0" customHeight="1">
      <c r="A74" s="7"/>
      <c r="B74" s="13" t="s">
        <v>39</v>
      </c>
      <c r="C74" s="238">
        <f>C6</f>
        <v>28333.33333</v>
      </c>
      <c r="D74" s="245">
        <f>F73*D62</f>
        <v>8618.055556</v>
      </c>
      <c r="E74" s="238">
        <f t="shared" si="13"/>
        <v>36951.38889</v>
      </c>
      <c r="F74" s="250">
        <f t="shared" si="14"/>
        <v>2040000</v>
      </c>
      <c r="H74" s="229"/>
      <c r="I74" s="19">
        <f>I17</f>
        <v>400</v>
      </c>
      <c r="K74" s="43"/>
      <c r="L74" s="35"/>
    </row>
    <row r="75" ht="15.0" customHeight="1">
      <c r="C75" s="240"/>
      <c r="H75" s="229"/>
      <c r="K75" s="249"/>
      <c r="L75" s="43"/>
    </row>
    <row r="76" ht="18.75" customHeight="1">
      <c r="B76" s="193" t="s">
        <v>159</v>
      </c>
      <c r="C76" s="238">
        <f t="shared" ref="C76:E76" si="15">SUM(C63:C75)</f>
        <v>340000</v>
      </c>
      <c r="D76" s="238">
        <f t="shared" si="15"/>
        <v>111208.3333</v>
      </c>
      <c r="E76" s="251">
        <f t="shared" si="15"/>
        <v>451208.3333</v>
      </c>
      <c r="F76" s="252">
        <f>E76/I19</f>
        <v>311.1781609</v>
      </c>
      <c r="G76" s="253" t="s">
        <v>185</v>
      </c>
      <c r="H76" s="229"/>
      <c r="I76" s="33">
        <f>I19</f>
        <v>1450</v>
      </c>
      <c r="K76" s="193" t="s">
        <v>174</v>
      </c>
      <c r="L76" s="275">
        <f>L68/K63</f>
        <v>380.1436782</v>
      </c>
    </row>
    <row r="77" ht="15.0" customHeight="1">
      <c r="H77" s="229"/>
      <c r="I77" s="233" t="s">
        <v>186</v>
      </c>
      <c r="K77" s="193" t="s">
        <v>187</v>
      </c>
      <c r="L77" s="246"/>
    </row>
    <row r="78" ht="14.25" customHeight="1">
      <c r="A78" s="229"/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</row>
    <row r="79" ht="14.25" customHeight="1">
      <c r="H79" s="229"/>
      <c r="J79" s="11" t="s">
        <v>118</v>
      </c>
      <c r="K79" s="11" t="s">
        <v>161</v>
      </c>
      <c r="L79" s="11" t="s">
        <v>162</v>
      </c>
    </row>
    <row r="80" ht="14.25" customHeight="1">
      <c r="H80" s="229"/>
      <c r="J80" s="232" t="s">
        <v>96</v>
      </c>
      <c r="K80" s="233" t="s">
        <v>118</v>
      </c>
      <c r="L80" s="234" t="s">
        <v>96</v>
      </c>
    </row>
    <row r="81" ht="14.25" customHeight="1">
      <c r="D81" s="235">
        <f>D5</f>
        <v>0.004166666667</v>
      </c>
      <c r="H81" s="229"/>
      <c r="J81" s="35"/>
    </row>
    <row r="82" ht="14.25" customHeight="1">
      <c r="A82" s="7"/>
      <c r="B82" s="13" t="s">
        <v>22</v>
      </c>
      <c r="C82" s="238">
        <f>C6</f>
        <v>28333.33333</v>
      </c>
      <c r="D82" s="237">
        <f>F74*D81</f>
        <v>8500</v>
      </c>
      <c r="E82" s="238">
        <f t="shared" ref="E82:E93" si="17">C82+D82</f>
        <v>36833.33333</v>
      </c>
      <c r="F82" s="35">
        <f>F74-C82</f>
        <v>2011666.667</v>
      </c>
      <c r="H82" s="229"/>
      <c r="J82" s="276">
        <f t="shared" ref="J82:K82" si="16">J6</f>
        <v>500</v>
      </c>
      <c r="K82" s="19">
        <f t="shared" si="16"/>
        <v>1450</v>
      </c>
      <c r="L82" s="238">
        <f>J82*K82</f>
        <v>725000</v>
      </c>
    </row>
    <row r="83" ht="14.25" customHeight="1">
      <c r="A83" s="7"/>
      <c r="B83" s="13" t="s">
        <v>166</v>
      </c>
      <c r="C83" s="238">
        <f>C6</f>
        <v>28333.33333</v>
      </c>
      <c r="D83" s="237">
        <f>F82*D81</f>
        <v>8381.944444</v>
      </c>
      <c r="E83" s="238">
        <f t="shared" si="17"/>
        <v>36715.27778</v>
      </c>
      <c r="F83" s="35">
        <f t="shared" ref="F83:F93" si="18">F82-C83</f>
        <v>1983333.333</v>
      </c>
      <c r="H83" s="229"/>
      <c r="J83" s="240"/>
    </row>
    <row r="84" ht="14.25" customHeight="1">
      <c r="A84" s="7"/>
      <c r="B84" s="13" t="s">
        <v>24</v>
      </c>
      <c r="C84" s="238">
        <f>C6</f>
        <v>28333.33333</v>
      </c>
      <c r="D84" s="237">
        <f>F83*D81</f>
        <v>8263.888889</v>
      </c>
      <c r="E84" s="238">
        <f t="shared" si="17"/>
        <v>36597.22222</v>
      </c>
      <c r="F84" s="35">
        <f t="shared" si="18"/>
        <v>1955000</v>
      </c>
      <c r="H84" s="229"/>
      <c r="L84" s="241" t="s">
        <v>104</v>
      </c>
    </row>
    <row r="85" ht="15.0" customHeight="1">
      <c r="A85" s="7"/>
      <c r="B85" s="13" t="s">
        <v>167</v>
      </c>
      <c r="C85" s="238">
        <f>C6</f>
        <v>28333.33333</v>
      </c>
      <c r="D85" s="237">
        <f>F84*D81</f>
        <v>8145.833333</v>
      </c>
      <c r="E85" s="238">
        <f t="shared" si="17"/>
        <v>36479.16667</v>
      </c>
      <c r="F85" s="35">
        <f t="shared" si="18"/>
        <v>1926666.667</v>
      </c>
      <c r="H85" s="229"/>
      <c r="J85" s="238"/>
      <c r="K85" s="193" t="s">
        <v>168</v>
      </c>
      <c r="L85" s="238">
        <f>E95</f>
        <v>434208.3333</v>
      </c>
    </row>
    <row r="86" ht="14.25" customHeight="1">
      <c r="A86" s="242">
        <v>5.0</v>
      </c>
      <c r="B86" s="13" t="s">
        <v>28</v>
      </c>
      <c r="C86" s="238">
        <f>C6</f>
        <v>28333.33333</v>
      </c>
      <c r="D86" s="237">
        <f>F85*D81</f>
        <v>8027.777778</v>
      </c>
      <c r="E86" s="238">
        <f t="shared" si="17"/>
        <v>36361.11111</v>
      </c>
      <c r="F86" s="35">
        <f t="shared" si="18"/>
        <v>1898333.333</v>
      </c>
      <c r="H86" s="229"/>
      <c r="K86" s="193" t="s">
        <v>169</v>
      </c>
      <c r="L86" s="238">
        <f>L10</f>
        <v>100000</v>
      </c>
    </row>
    <row r="87" ht="14.25" customHeight="1">
      <c r="A87" s="244"/>
      <c r="B87" s="13" t="s">
        <v>31</v>
      </c>
      <c r="C87" s="238">
        <f>C6</f>
        <v>28333.33333</v>
      </c>
      <c r="D87" s="237">
        <f>F86*D81</f>
        <v>7909.722222</v>
      </c>
      <c r="E87" s="238">
        <f t="shared" si="17"/>
        <v>36243.05556</v>
      </c>
      <c r="F87" s="35">
        <f t="shared" si="18"/>
        <v>1870000</v>
      </c>
      <c r="H87" s="229"/>
      <c r="J87" s="219"/>
      <c r="K87" s="212" t="s">
        <v>159</v>
      </c>
      <c r="L87" s="236">
        <f>L85+L86</f>
        <v>534208.3333</v>
      </c>
    </row>
    <row r="88" ht="14.25" customHeight="1">
      <c r="A88" s="244"/>
      <c r="B88" s="13" t="s">
        <v>32</v>
      </c>
      <c r="C88" s="238">
        <f>C6</f>
        <v>28333.33333</v>
      </c>
      <c r="D88" s="245">
        <f>F87*D81</f>
        <v>7791.666667</v>
      </c>
      <c r="E88" s="238">
        <f t="shared" si="17"/>
        <v>36125</v>
      </c>
      <c r="F88" s="35">
        <f t="shared" si="18"/>
        <v>1841666.667</v>
      </c>
      <c r="H88" s="229"/>
    </row>
    <row r="89" ht="15.0" customHeight="1">
      <c r="A89" s="246"/>
      <c r="B89" s="13" t="s">
        <v>170</v>
      </c>
      <c r="C89" s="238">
        <f>C6</f>
        <v>28333.33333</v>
      </c>
      <c r="D89" s="245">
        <f>F88*D81</f>
        <v>7673.611111</v>
      </c>
      <c r="E89" s="238">
        <f t="shared" si="17"/>
        <v>36006.94444</v>
      </c>
      <c r="F89" s="35">
        <f t="shared" si="18"/>
        <v>1813333.333</v>
      </c>
      <c r="H89" s="229"/>
      <c r="L89" s="247">
        <f>L82-L87</f>
        <v>190791.6667</v>
      </c>
    </row>
    <row r="90" ht="15.0" customHeight="1">
      <c r="A90" s="7"/>
      <c r="B90" s="13" t="s">
        <v>35</v>
      </c>
      <c r="C90" s="238">
        <f>C6</f>
        <v>28333.33333</v>
      </c>
      <c r="D90" s="245">
        <f>F89*D81</f>
        <v>7555.555556</v>
      </c>
      <c r="E90" s="238">
        <f t="shared" si="17"/>
        <v>35888.88889</v>
      </c>
      <c r="F90" s="35">
        <f t="shared" si="18"/>
        <v>1785000</v>
      </c>
      <c r="H90" s="229"/>
      <c r="L90" s="246"/>
    </row>
    <row r="91" ht="14.25" customHeight="1">
      <c r="A91" s="7"/>
      <c r="B91" s="13" t="s">
        <v>171</v>
      </c>
      <c r="C91" s="238">
        <f>C6</f>
        <v>28333.33333</v>
      </c>
      <c r="D91" s="245">
        <f>F90*D81</f>
        <v>7437.5</v>
      </c>
      <c r="E91" s="238">
        <f t="shared" si="17"/>
        <v>35770.83333</v>
      </c>
      <c r="F91" s="35">
        <f t="shared" si="18"/>
        <v>1756666.667</v>
      </c>
      <c r="H91" s="229"/>
      <c r="I91" s="248" t="s">
        <v>172</v>
      </c>
    </row>
    <row r="92" ht="15.0" customHeight="1">
      <c r="A92" s="7"/>
      <c r="B92" s="13" t="s">
        <v>37</v>
      </c>
      <c r="C92" s="238">
        <f>C6</f>
        <v>28333.33333</v>
      </c>
      <c r="D92" s="245">
        <f>F91*D81</f>
        <v>7319.444444</v>
      </c>
      <c r="E92" s="238">
        <f t="shared" si="17"/>
        <v>35652.77778</v>
      </c>
      <c r="F92" s="35">
        <f t="shared" si="18"/>
        <v>1728333.333</v>
      </c>
      <c r="H92" s="229"/>
      <c r="I92" s="248" t="s">
        <v>99</v>
      </c>
      <c r="K92" s="249"/>
      <c r="L92" s="35"/>
    </row>
    <row r="93" ht="15.0" customHeight="1">
      <c r="A93" s="7"/>
      <c r="B93" s="13" t="s">
        <v>39</v>
      </c>
      <c r="C93" s="238">
        <f>C6</f>
        <v>28333.33333</v>
      </c>
      <c r="D93" s="245">
        <f>F92*D81</f>
        <v>7201.388889</v>
      </c>
      <c r="E93" s="238">
        <f t="shared" si="17"/>
        <v>35534.72222</v>
      </c>
      <c r="F93" s="250">
        <f t="shared" si="18"/>
        <v>1700000</v>
      </c>
      <c r="H93" s="229"/>
      <c r="I93" s="19">
        <f>I17</f>
        <v>400</v>
      </c>
      <c r="K93" s="43"/>
      <c r="L93" s="35"/>
    </row>
    <row r="94" ht="15.0" customHeight="1">
      <c r="C94" s="240"/>
      <c r="H94" s="229"/>
      <c r="K94" s="249"/>
      <c r="L94" s="43"/>
    </row>
    <row r="95" ht="18.75" customHeight="1">
      <c r="B95" s="193" t="s">
        <v>159</v>
      </c>
      <c r="C95" s="238">
        <f t="shared" ref="C95:E95" si="19">SUM(C82:C94)</f>
        <v>340000</v>
      </c>
      <c r="D95" s="238">
        <f t="shared" si="19"/>
        <v>94208.33333</v>
      </c>
      <c r="E95" s="251">
        <f t="shared" si="19"/>
        <v>434208.3333</v>
      </c>
      <c r="F95" s="252">
        <f>E95/I19</f>
        <v>299.454023</v>
      </c>
      <c r="G95" s="253" t="s">
        <v>185</v>
      </c>
      <c r="H95" s="229"/>
      <c r="I95" s="33">
        <f>I19</f>
        <v>1450</v>
      </c>
      <c r="K95" s="193" t="s">
        <v>174</v>
      </c>
      <c r="L95" s="275">
        <f>L87/K82</f>
        <v>368.4195402</v>
      </c>
    </row>
    <row r="96" ht="15.0" customHeight="1">
      <c r="H96" s="229"/>
      <c r="I96" s="233" t="s">
        <v>186</v>
      </c>
      <c r="K96" s="193" t="s">
        <v>187</v>
      </c>
      <c r="L96" s="246"/>
    </row>
    <row r="97" ht="14.25" customHeight="1">
      <c r="A97" s="229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</row>
    <row r="98" ht="14.25" customHeight="1">
      <c r="H98" s="229"/>
      <c r="J98" s="11" t="s">
        <v>118</v>
      </c>
      <c r="K98" s="11" t="s">
        <v>161</v>
      </c>
      <c r="L98" s="11" t="s">
        <v>162</v>
      </c>
    </row>
    <row r="99" ht="14.25" customHeight="1">
      <c r="H99" s="229"/>
      <c r="J99" s="232" t="s">
        <v>96</v>
      </c>
      <c r="K99" s="233" t="s">
        <v>118</v>
      </c>
      <c r="L99" s="234" t="s">
        <v>96</v>
      </c>
    </row>
    <row r="100" ht="14.25" customHeight="1">
      <c r="D100" s="235">
        <f>D5</f>
        <v>0.004166666667</v>
      </c>
      <c r="H100" s="229"/>
      <c r="J100" s="35"/>
    </row>
    <row r="101" ht="14.25" customHeight="1">
      <c r="A101" s="7"/>
      <c r="B101" s="13" t="s">
        <v>22</v>
      </c>
      <c r="C101" s="238">
        <f>C6</f>
        <v>28333.33333</v>
      </c>
      <c r="D101" s="237">
        <f>F93*D100</f>
        <v>7083.333333</v>
      </c>
      <c r="E101" s="238">
        <f t="shared" ref="E101:E112" si="21">C101+D101</f>
        <v>35416.66667</v>
      </c>
      <c r="F101" s="35">
        <f>F93-C101</f>
        <v>1671666.667</v>
      </c>
      <c r="H101" s="229"/>
      <c r="J101" s="276">
        <f t="shared" ref="J101:K101" si="20">J6</f>
        <v>500</v>
      </c>
      <c r="K101" s="19">
        <f t="shared" si="20"/>
        <v>1450</v>
      </c>
      <c r="L101" s="238">
        <f>J101*K101</f>
        <v>725000</v>
      </c>
    </row>
    <row r="102" ht="14.25" customHeight="1">
      <c r="A102" s="7"/>
      <c r="B102" s="13" t="s">
        <v>166</v>
      </c>
      <c r="C102" s="238">
        <f>C6</f>
        <v>28333.33333</v>
      </c>
      <c r="D102" s="237">
        <f>F101*D100</f>
        <v>6965.277778</v>
      </c>
      <c r="E102" s="238">
        <f t="shared" si="21"/>
        <v>35298.61111</v>
      </c>
      <c r="F102" s="35">
        <f t="shared" ref="F102:F112" si="22">F101-C102</f>
        <v>1643333.333</v>
      </c>
      <c r="H102" s="229"/>
      <c r="J102" s="240"/>
    </row>
    <row r="103" ht="14.25" customHeight="1">
      <c r="A103" s="7"/>
      <c r="B103" s="13" t="s">
        <v>24</v>
      </c>
      <c r="C103" s="238">
        <f>C6</f>
        <v>28333.33333</v>
      </c>
      <c r="D103" s="237">
        <f>F102*D100</f>
        <v>6847.222222</v>
      </c>
      <c r="E103" s="238">
        <f t="shared" si="21"/>
        <v>35180.55556</v>
      </c>
      <c r="F103" s="35">
        <f t="shared" si="22"/>
        <v>1615000</v>
      </c>
      <c r="H103" s="229"/>
      <c r="L103" s="241" t="s">
        <v>104</v>
      </c>
    </row>
    <row r="104" ht="15.0" customHeight="1">
      <c r="A104" s="7"/>
      <c r="B104" s="13" t="s">
        <v>167</v>
      </c>
      <c r="C104" s="238">
        <f>C6</f>
        <v>28333.33333</v>
      </c>
      <c r="D104" s="237">
        <f>F103*D100</f>
        <v>6729.166667</v>
      </c>
      <c r="E104" s="238">
        <f t="shared" si="21"/>
        <v>35062.5</v>
      </c>
      <c r="F104" s="35">
        <f t="shared" si="22"/>
        <v>1586666.667</v>
      </c>
      <c r="H104" s="229"/>
      <c r="J104" s="238"/>
      <c r="K104" s="193" t="s">
        <v>168</v>
      </c>
      <c r="L104" s="238">
        <f>E114</f>
        <v>417208.3333</v>
      </c>
    </row>
    <row r="105" ht="14.25" customHeight="1">
      <c r="A105" s="242">
        <v>6.0</v>
      </c>
      <c r="B105" s="13" t="s">
        <v>28</v>
      </c>
      <c r="C105" s="238">
        <f>C6</f>
        <v>28333.33333</v>
      </c>
      <c r="D105" s="237">
        <f>F104*D100</f>
        <v>6611.111111</v>
      </c>
      <c r="E105" s="238">
        <f t="shared" si="21"/>
        <v>34944.44444</v>
      </c>
      <c r="F105" s="35">
        <f t="shared" si="22"/>
        <v>1558333.333</v>
      </c>
      <c r="H105" s="229"/>
      <c r="K105" s="193" t="s">
        <v>169</v>
      </c>
      <c r="L105" s="238">
        <f>L10</f>
        <v>100000</v>
      </c>
    </row>
    <row r="106" ht="14.25" customHeight="1">
      <c r="A106" s="244"/>
      <c r="B106" s="13" t="s">
        <v>31</v>
      </c>
      <c r="C106" s="238">
        <f>C6</f>
        <v>28333.33333</v>
      </c>
      <c r="D106" s="237">
        <f>F105*D100</f>
        <v>6493.055556</v>
      </c>
      <c r="E106" s="238">
        <f t="shared" si="21"/>
        <v>34826.38889</v>
      </c>
      <c r="F106" s="35">
        <f t="shared" si="22"/>
        <v>1530000</v>
      </c>
      <c r="H106" s="229"/>
      <c r="J106" s="219"/>
      <c r="K106" s="212" t="s">
        <v>159</v>
      </c>
      <c r="L106" s="236">
        <f>L104+L105</f>
        <v>517208.3333</v>
      </c>
    </row>
    <row r="107" ht="14.25" customHeight="1">
      <c r="A107" s="244"/>
      <c r="B107" s="13" t="s">
        <v>32</v>
      </c>
      <c r="C107" s="238">
        <f>C6</f>
        <v>28333.33333</v>
      </c>
      <c r="D107" s="245">
        <f>F106*D100</f>
        <v>6375</v>
      </c>
      <c r="E107" s="238">
        <f t="shared" si="21"/>
        <v>34708.33333</v>
      </c>
      <c r="F107" s="35">
        <f t="shared" si="22"/>
        <v>1501666.667</v>
      </c>
      <c r="H107" s="229"/>
    </row>
    <row r="108" ht="15.0" customHeight="1">
      <c r="A108" s="246"/>
      <c r="B108" s="13" t="s">
        <v>170</v>
      </c>
      <c r="C108" s="238">
        <f>C6</f>
        <v>28333.33333</v>
      </c>
      <c r="D108" s="245">
        <f>F107*D100</f>
        <v>6256.944444</v>
      </c>
      <c r="E108" s="238">
        <f t="shared" si="21"/>
        <v>34590.27778</v>
      </c>
      <c r="F108" s="35">
        <f t="shared" si="22"/>
        <v>1473333.333</v>
      </c>
      <c r="H108" s="229"/>
      <c r="L108" s="247">
        <f>L101-L106</f>
        <v>207791.6667</v>
      </c>
    </row>
    <row r="109" ht="15.0" customHeight="1">
      <c r="A109" s="7"/>
      <c r="B109" s="13" t="s">
        <v>35</v>
      </c>
      <c r="C109" s="238">
        <f>C6</f>
        <v>28333.33333</v>
      </c>
      <c r="D109" s="245">
        <f>F108*D100</f>
        <v>6138.888889</v>
      </c>
      <c r="E109" s="238">
        <f t="shared" si="21"/>
        <v>34472.22222</v>
      </c>
      <c r="F109" s="35">
        <f t="shared" si="22"/>
        <v>1445000</v>
      </c>
      <c r="H109" s="229"/>
      <c r="L109" s="246"/>
    </row>
    <row r="110" ht="14.25" customHeight="1">
      <c r="A110" s="7"/>
      <c r="B110" s="13" t="s">
        <v>171</v>
      </c>
      <c r="C110" s="238">
        <f>C6</f>
        <v>28333.33333</v>
      </c>
      <c r="D110" s="245">
        <f>F109*D100</f>
        <v>6020.833333</v>
      </c>
      <c r="E110" s="238">
        <f t="shared" si="21"/>
        <v>34354.16667</v>
      </c>
      <c r="F110" s="35">
        <f t="shared" si="22"/>
        <v>1416666.667</v>
      </c>
      <c r="H110" s="229"/>
      <c r="I110" s="248" t="s">
        <v>172</v>
      </c>
    </row>
    <row r="111" ht="15.0" customHeight="1">
      <c r="A111" s="7"/>
      <c r="B111" s="13" t="s">
        <v>37</v>
      </c>
      <c r="C111" s="238">
        <f>C6</f>
        <v>28333.33333</v>
      </c>
      <c r="D111" s="245">
        <f>F110*D100</f>
        <v>5902.777778</v>
      </c>
      <c r="E111" s="238">
        <f t="shared" si="21"/>
        <v>34236.11111</v>
      </c>
      <c r="F111" s="35">
        <f t="shared" si="22"/>
        <v>1388333.333</v>
      </c>
      <c r="H111" s="229"/>
      <c r="I111" s="248" t="s">
        <v>99</v>
      </c>
      <c r="K111" s="249"/>
      <c r="L111" s="35"/>
    </row>
    <row r="112" ht="15.0" customHeight="1">
      <c r="A112" s="7"/>
      <c r="B112" s="13" t="s">
        <v>39</v>
      </c>
      <c r="C112" s="238">
        <f>C6</f>
        <v>28333.33333</v>
      </c>
      <c r="D112" s="245">
        <f>F111*D100</f>
        <v>5784.722222</v>
      </c>
      <c r="E112" s="238">
        <f t="shared" si="21"/>
        <v>34118.05556</v>
      </c>
      <c r="F112" s="250">
        <f t="shared" si="22"/>
        <v>1360000</v>
      </c>
      <c r="H112" s="229"/>
      <c r="I112" s="19">
        <f>I17</f>
        <v>400</v>
      </c>
      <c r="K112" s="43"/>
      <c r="L112" s="35"/>
    </row>
    <row r="113" ht="15.0" customHeight="1">
      <c r="C113" s="240"/>
      <c r="H113" s="229"/>
      <c r="K113" s="249"/>
      <c r="L113" s="43"/>
    </row>
    <row r="114" ht="18.75" customHeight="1">
      <c r="B114" s="193" t="s">
        <v>159</v>
      </c>
      <c r="C114" s="238">
        <f t="shared" ref="C114:E114" si="23">SUM(C101:C113)</f>
        <v>340000</v>
      </c>
      <c r="D114" s="238">
        <f t="shared" si="23"/>
        <v>77208.33333</v>
      </c>
      <c r="E114" s="251">
        <f t="shared" si="23"/>
        <v>417208.3333</v>
      </c>
      <c r="F114" s="252">
        <f>E114/I19</f>
        <v>287.7298851</v>
      </c>
      <c r="G114" s="253" t="s">
        <v>185</v>
      </c>
      <c r="H114" s="229"/>
      <c r="I114" s="33">
        <f>I19</f>
        <v>1450</v>
      </c>
      <c r="K114" s="193" t="s">
        <v>174</v>
      </c>
      <c r="L114" s="275">
        <f>L106/K101</f>
        <v>356.6954023</v>
      </c>
    </row>
    <row r="115" ht="15.0" customHeight="1">
      <c r="H115" s="229"/>
      <c r="I115" s="233" t="s">
        <v>186</v>
      </c>
      <c r="K115" s="193" t="s">
        <v>187</v>
      </c>
      <c r="L115" s="246"/>
    </row>
    <row r="116" ht="14.25" customHeight="1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</row>
    <row r="117" ht="14.25" customHeight="1">
      <c r="H117" s="229"/>
      <c r="J117" s="11" t="s">
        <v>118</v>
      </c>
      <c r="K117" s="11" t="s">
        <v>161</v>
      </c>
      <c r="L117" s="11" t="s">
        <v>162</v>
      </c>
    </row>
    <row r="118" ht="14.25" customHeight="1">
      <c r="H118" s="229"/>
      <c r="J118" s="232" t="s">
        <v>96</v>
      </c>
      <c r="K118" s="233" t="s">
        <v>118</v>
      </c>
      <c r="L118" s="234" t="s">
        <v>96</v>
      </c>
    </row>
    <row r="119" ht="14.25" customHeight="1">
      <c r="D119" s="235">
        <f>D5</f>
        <v>0.004166666667</v>
      </c>
      <c r="H119" s="229"/>
      <c r="J119" s="35"/>
    </row>
    <row r="120" ht="14.25" customHeight="1">
      <c r="A120" s="7"/>
      <c r="B120" s="13" t="s">
        <v>22</v>
      </c>
      <c r="C120" s="238">
        <f>C6</f>
        <v>28333.33333</v>
      </c>
      <c r="D120" s="237">
        <f>F112*D119</f>
        <v>5666.666667</v>
      </c>
      <c r="E120" s="238">
        <f t="shared" ref="E120:E131" si="25">C120+D120</f>
        <v>34000</v>
      </c>
      <c r="F120" s="35">
        <f>F112-C120</f>
        <v>1331666.667</v>
      </c>
      <c r="H120" s="229"/>
      <c r="J120" s="276">
        <f t="shared" ref="J120:K120" si="24">J6</f>
        <v>500</v>
      </c>
      <c r="K120" s="19">
        <f t="shared" si="24"/>
        <v>1450</v>
      </c>
      <c r="L120" s="238">
        <f>J120*K120</f>
        <v>725000</v>
      </c>
    </row>
    <row r="121" ht="14.25" customHeight="1">
      <c r="A121" s="7"/>
      <c r="B121" s="13" t="s">
        <v>166</v>
      </c>
      <c r="C121" s="238">
        <f>C6</f>
        <v>28333.33333</v>
      </c>
      <c r="D121" s="237">
        <f>F120*D119</f>
        <v>5548.611111</v>
      </c>
      <c r="E121" s="238">
        <f t="shared" si="25"/>
        <v>33881.94444</v>
      </c>
      <c r="F121" s="35">
        <f t="shared" ref="F121:F131" si="26">F120-C121</f>
        <v>1303333.333</v>
      </c>
      <c r="H121" s="229"/>
      <c r="J121" s="240"/>
    </row>
    <row r="122" ht="14.25" customHeight="1">
      <c r="A122" s="7"/>
      <c r="B122" s="13" t="s">
        <v>24</v>
      </c>
      <c r="C122" s="238">
        <f>C6</f>
        <v>28333.33333</v>
      </c>
      <c r="D122" s="237">
        <f>F121*D119</f>
        <v>5430.555556</v>
      </c>
      <c r="E122" s="238">
        <f t="shared" si="25"/>
        <v>33763.88889</v>
      </c>
      <c r="F122" s="35">
        <f t="shared" si="26"/>
        <v>1275000</v>
      </c>
      <c r="H122" s="229"/>
      <c r="L122" s="241" t="s">
        <v>104</v>
      </c>
    </row>
    <row r="123" ht="15.0" customHeight="1">
      <c r="A123" s="7"/>
      <c r="B123" s="13" t="s">
        <v>167</v>
      </c>
      <c r="C123" s="238">
        <f>C6</f>
        <v>28333.33333</v>
      </c>
      <c r="D123" s="237">
        <f>F122*D119</f>
        <v>5312.5</v>
      </c>
      <c r="E123" s="238">
        <f t="shared" si="25"/>
        <v>33645.83333</v>
      </c>
      <c r="F123" s="35">
        <f t="shared" si="26"/>
        <v>1246666.667</v>
      </c>
      <c r="H123" s="229"/>
      <c r="J123" s="238"/>
      <c r="K123" s="193" t="s">
        <v>168</v>
      </c>
      <c r="L123" s="238">
        <f>E133</f>
        <v>400208.3333</v>
      </c>
    </row>
    <row r="124" ht="14.25" customHeight="1">
      <c r="A124" s="242">
        <v>7.0</v>
      </c>
      <c r="B124" s="13" t="s">
        <v>28</v>
      </c>
      <c r="C124" s="238">
        <f>C6</f>
        <v>28333.33333</v>
      </c>
      <c r="D124" s="237">
        <f>F123*D119</f>
        <v>5194.444444</v>
      </c>
      <c r="E124" s="238">
        <f t="shared" si="25"/>
        <v>33527.77778</v>
      </c>
      <c r="F124" s="35">
        <f t="shared" si="26"/>
        <v>1218333.333</v>
      </c>
      <c r="H124" s="229"/>
      <c r="K124" s="193" t="s">
        <v>169</v>
      </c>
      <c r="L124" s="238">
        <f>L10</f>
        <v>100000</v>
      </c>
    </row>
    <row r="125" ht="14.25" customHeight="1">
      <c r="A125" s="244"/>
      <c r="B125" s="13" t="s">
        <v>31</v>
      </c>
      <c r="C125" s="238">
        <f>C6</f>
        <v>28333.33333</v>
      </c>
      <c r="D125" s="237">
        <f>F124*D119</f>
        <v>5076.388889</v>
      </c>
      <c r="E125" s="238">
        <f t="shared" si="25"/>
        <v>33409.72222</v>
      </c>
      <c r="F125" s="35">
        <f t="shared" si="26"/>
        <v>1190000</v>
      </c>
      <c r="H125" s="229"/>
      <c r="J125" s="219"/>
      <c r="K125" s="212" t="s">
        <v>159</v>
      </c>
      <c r="L125" s="236">
        <f>L123+L124</f>
        <v>500208.3333</v>
      </c>
    </row>
    <row r="126" ht="14.25" customHeight="1">
      <c r="A126" s="244"/>
      <c r="B126" s="13" t="s">
        <v>32</v>
      </c>
      <c r="C126" s="238">
        <f>C6</f>
        <v>28333.33333</v>
      </c>
      <c r="D126" s="245">
        <f>F125*D119</f>
        <v>4958.333333</v>
      </c>
      <c r="E126" s="238">
        <f t="shared" si="25"/>
        <v>33291.66667</v>
      </c>
      <c r="F126" s="35">
        <f t="shared" si="26"/>
        <v>1161666.667</v>
      </c>
      <c r="H126" s="229"/>
    </row>
    <row r="127" ht="15.0" customHeight="1">
      <c r="A127" s="246"/>
      <c r="B127" s="13" t="s">
        <v>170</v>
      </c>
      <c r="C127" s="238">
        <f>C6</f>
        <v>28333.33333</v>
      </c>
      <c r="D127" s="245">
        <f>F126*D119</f>
        <v>4840.277778</v>
      </c>
      <c r="E127" s="238">
        <f t="shared" si="25"/>
        <v>33173.61111</v>
      </c>
      <c r="F127" s="35">
        <f t="shared" si="26"/>
        <v>1133333.333</v>
      </c>
      <c r="H127" s="229"/>
      <c r="L127" s="247">
        <f>L120-L125</f>
        <v>224791.6667</v>
      </c>
    </row>
    <row r="128" ht="15.0" customHeight="1">
      <c r="A128" s="7"/>
      <c r="B128" s="13" t="s">
        <v>35</v>
      </c>
      <c r="C128" s="238">
        <f>C6</f>
        <v>28333.33333</v>
      </c>
      <c r="D128" s="245">
        <f>F127*D119</f>
        <v>4722.222222</v>
      </c>
      <c r="E128" s="238">
        <f t="shared" si="25"/>
        <v>33055.55556</v>
      </c>
      <c r="F128" s="35">
        <f t="shared" si="26"/>
        <v>1105000</v>
      </c>
      <c r="H128" s="229"/>
      <c r="L128" s="246"/>
    </row>
    <row r="129" ht="14.25" customHeight="1">
      <c r="A129" s="7"/>
      <c r="B129" s="13" t="s">
        <v>171</v>
      </c>
      <c r="C129" s="238">
        <f>C6</f>
        <v>28333.33333</v>
      </c>
      <c r="D129" s="245">
        <f>F128*D119</f>
        <v>4604.166667</v>
      </c>
      <c r="E129" s="238">
        <f t="shared" si="25"/>
        <v>32937.5</v>
      </c>
      <c r="F129" s="35">
        <f t="shared" si="26"/>
        <v>1076666.667</v>
      </c>
      <c r="H129" s="229"/>
      <c r="I129" s="248" t="s">
        <v>172</v>
      </c>
    </row>
    <row r="130" ht="15.0" customHeight="1">
      <c r="A130" s="7"/>
      <c r="B130" s="13" t="s">
        <v>37</v>
      </c>
      <c r="C130" s="238">
        <f>C6</f>
        <v>28333.33333</v>
      </c>
      <c r="D130" s="245">
        <f>F129*D119</f>
        <v>4486.111111</v>
      </c>
      <c r="E130" s="238">
        <f t="shared" si="25"/>
        <v>32819.44444</v>
      </c>
      <c r="F130" s="35">
        <f t="shared" si="26"/>
        <v>1048333.333</v>
      </c>
      <c r="H130" s="229"/>
      <c r="I130" s="248" t="s">
        <v>99</v>
      </c>
      <c r="K130" s="249"/>
      <c r="L130" s="35"/>
    </row>
    <row r="131" ht="15.0" customHeight="1">
      <c r="A131" s="7"/>
      <c r="B131" s="13" t="s">
        <v>39</v>
      </c>
      <c r="C131" s="238">
        <f>C6</f>
        <v>28333.33333</v>
      </c>
      <c r="D131" s="245">
        <f>F130*D119</f>
        <v>4368.055556</v>
      </c>
      <c r="E131" s="238">
        <f t="shared" si="25"/>
        <v>32701.38889</v>
      </c>
      <c r="F131" s="250">
        <f t="shared" si="26"/>
        <v>1020000</v>
      </c>
      <c r="H131" s="229"/>
      <c r="I131" s="19">
        <f>I17</f>
        <v>400</v>
      </c>
      <c r="K131" s="43"/>
      <c r="L131" s="35"/>
    </row>
    <row r="132" ht="15.0" customHeight="1">
      <c r="C132" s="240"/>
      <c r="H132" s="229"/>
      <c r="K132" s="249"/>
      <c r="L132" s="43"/>
    </row>
    <row r="133" ht="18.75" customHeight="1">
      <c r="B133" s="193" t="s">
        <v>159</v>
      </c>
      <c r="C133" s="238">
        <f t="shared" ref="C133:E133" si="27">SUM(C120:C132)</f>
        <v>340000</v>
      </c>
      <c r="D133" s="238">
        <f t="shared" si="27"/>
        <v>60208.33333</v>
      </c>
      <c r="E133" s="251">
        <f t="shared" si="27"/>
        <v>400208.3333</v>
      </c>
      <c r="F133" s="252">
        <f>E133/I19</f>
        <v>276.0057471</v>
      </c>
      <c r="G133" s="253" t="s">
        <v>185</v>
      </c>
      <c r="H133" s="229"/>
      <c r="I133" s="33">
        <f>I19</f>
        <v>1450</v>
      </c>
      <c r="K133" s="193" t="s">
        <v>174</v>
      </c>
      <c r="L133" s="275">
        <f>L125/K120</f>
        <v>344.9712644</v>
      </c>
    </row>
    <row r="134" ht="15.0" customHeight="1">
      <c r="H134" s="229"/>
      <c r="I134" s="233" t="s">
        <v>186</v>
      </c>
      <c r="K134" s="193" t="s">
        <v>187</v>
      </c>
      <c r="L134" s="246"/>
    </row>
    <row r="135" ht="14.25" customHeight="1">
      <c r="A135" s="229"/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</row>
    <row r="136" ht="14.25" customHeight="1">
      <c r="H136" s="229"/>
      <c r="J136" s="11" t="s">
        <v>118</v>
      </c>
      <c r="K136" s="11" t="s">
        <v>161</v>
      </c>
      <c r="L136" s="11" t="s">
        <v>162</v>
      </c>
    </row>
    <row r="137" ht="14.25" customHeight="1">
      <c r="H137" s="229"/>
      <c r="J137" s="232" t="s">
        <v>96</v>
      </c>
      <c r="K137" s="233" t="s">
        <v>118</v>
      </c>
      <c r="L137" s="234" t="s">
        <v>96</v>
      </c>
    </row>
    <row r="138" ht="14.25" customHeight="1">
      <c r="D138" s="235">
        <f>D5</f>
        <v>0.004166666667</v>
      </c>
      <c r="H138" s="229"/>
      <c r="J138" s="35"/>
    </row>
    <row r="139" ht="14.25" customHeight="1">
      <c r="A139" s="7"/>
      <c r="B139" s="13" t="s">
        <v>22</v>
      </c>
      <c r="C139" s="238">
        <f>C6</f>
        <v>28333.33333</v>
      </c>
      <c r="D139" s="237">
        <f>F131*D138</f>
        <v>4250</v>
      </c>
      <c r="E139" s="238">
        <f t="shared" ref="E139:E150" si="29">C139+D139</f>
        <v>32583.33333</v>
      </c>
      <c r="F139" s="35">
        <f>F131-C139</f>
        <v>991666.6667</v>
      </c>
      <c r="H139" s="229"/>
      <c r="J139" s="276">
        <f t="shared" ref="J139:K139" si="28">J6</f>
        <v>500</v>
      </c>
      <c r="K139" s="19">
        <f t="shared" si="28"/>
        <v>1450</v>
      </c>
      <c r="L139" s="238">
        <f>J139*K139</f>
        <v>725000</v>
      </c>
    </row>
    <row r="140" ht="14.25" customHeight="1">
      <c r="A140" s="7"/>
      <c r="B140" s="13" t="s">
        <v>166</v>
      </c>
      <c r="C140" s="238">
        <f>C6</f>
        <v>28333.33333</v>
      </c>
      <c r="D140" s="237">
        <f>F139*D138</f>
        <v>4131.944444</v>
      </c>
      <c r="E140" s="238">
        <f t="shared" si="29"/>
        <v>32465.27778</v>
      </c>
      <c r="F140" s="35">
        <f t="shared" ref="F140:F150" si="30">F139-C140</f>
        <v>963333.3333</v>
      </c>
      <c r="H140" s="229"/>
      <c r="J140" s="240"/>
    </row>
    <row r="141" ht="14.25" customHeight="1">
      <c r="A141" s="7"/>
      <c r="B141" s="13" t="s">
        <v>24</v>
      </c>
      <c r="C141" s="238">
        <f>C6</f>
        <v>28333.33333</v>
      </c>
      <c r="D141" s="237">
        <f>F140*D138</f>
        <v>4013.888889</v>
      </c>
      <c r="E141" s="238">
        <f t="shared" si="29"/>
        <v>32347.22222</v>
      </c>
      <c r="F141" s="35">
        <f t="shared" si="30"/>
        <v>935000</v>
      </c>
      <c r="H141" s="229"/>
      <c r="L141" s="241" t="s">
        <v>104</v>
      </c>
    </row>
    <row r="142" ht="15.0" customHeight="1">
      <c r="A142" s="7"/>
      <c r="B142" s="13" t="s">
        <v>167</v>
      </c>
      <c r="C142" s="238">
        <f>C6</f>
        <v>28333.33333</v>
      </c>
      <c r="D142" s="237">
        <f>F141*D138</f>
        <v>3895.833333</v>
      </c>
      <c r="E142" s="238">
        <f t="shared" si="29"/>
        <v>32229.16667</v>
      </c>
      <c r="F142" s="35">
        <f t="shared" si="30"/>
        <v>906666.6667</v>
      </c>
      <c r="H142" s="229"/>
      <c r="J142" s="238"/>
      <c r="K142" s="193" t="s">
        <v>168</v>
      </c>
      <c r="L142" s="238">
        <f>E152</f>
        <v>383208.3333</v>
      </c>
    </row>
    <row r="143" ht="14.25" customHeight="1">
      <c r="A143" s="242">
        <v>8.0</v>
      </c>
      <c r="B143" s="13" t="s">
        <v>28</v>
      </c>
      <c r="C143" s="238">
        <f>C6</f>
        <v>28333.33333</v>
      </c>
      <c r="D143" s="237">
        <f>F142*D138</f>
        <v>3777.777778</v>
      </c>
      <c r="E143" s="238">
        <f t="shared" si="29"/>
        <v>32111.11111</v>
      </c>
      <c r="F143" s="35">
        <f t="shared" si="30"/>
        <v>878333.3333</v>
      </c>
      <c r="H143" s="229"/>
      <c r="K143" s="193" t="s">
        <v>169</v>
      </c>
      <c r="L143" s="238">
        <f>L10</f>
        <v>100000</v>
      </c>
    </row>
    <row r="144" ht="14.25" customHeight="1">
      <c r="A144" s="244"/>
      <c r="B144" s="13" t="s">
        <v>31</v>
      </c>
      <c r="C144" s="238">
        <f>C6</f>
        <v>28333.33333</v>
      </c>
      <c r="D144" s="237">
        <f>F143*D138</f>
        <v>3659.722222</v>
      </c>
      <c r="E144" s="238">
        <f t="shared" si="29"/>
        <v>31993.05556</v>
      </c>
      <c r="F144" s="35">
        <f t="shared" si="30"/>
        <v>850000</v>
      </c>
      <c r="H144" s="229"/>
      <c r="J144" s="219"/>
      <c r="K144" s="212" t="s">
        <v>159</v>
      </c>
      <c r="L144" s="236">
        <f>L142+L143</f>
        <v>483208.3333</v>
      </c>
    </row>
    <row r="145" ht="14.25" customHeight="1">
      <c r="A145" s="244"/>
      <c r="B145" s="13" t="s">
        <v>32</v>
      </c>
      <c r="C145" s="238">
        <f>C6</f>
        <v>28333.33333</v>
      </c>
      <c r="D145" s="245">
        <f>F144*D138</f>
        <v>3541.666667</v>
      </c>
      <c r="E145" s="238">
        <f t="shared" si="29"/>
        <v>31875</v>
      </c>
      <c r="F145" s="35">
        <f t="shared" si="30"/>
        <v>821666.6667</v>
      </c>
      <c r="H145" s="229"/>
    </row>
    <row r="146" ht="15.0" customHeight="1">
      <c r="A146" s="246"/>
      <c r="B146" s="13" t="s">
        <v>170</v>
      </c>
      <c r="C146" s="238">
        <f>C6</f>
        <v>28333.33333</v>
      </c>
      <c r="D146" s="245">
        <f>F145*D138</f>
        <v>3423.611111</v>
      </c>
      <c r="E146" s="238">
        <f t="shared" si="29"/>
        <v>31756.94444</v>
      </c>
      <c r="F146" s="35">
        <f t="shared" si="30"/>
        <v>793333.3333</v>
      </c>
      <c r="H146" s="229"/>
      <c r="L146" s="247">
        <f>L139-L144</f>
        <v>241791.6667</v>
      </c>
    </row>
    <row r="147" ht="15.0" customHeight="1">
      <c r="A147" s="7"/>
      <c r="B147" s="13" t="s">
        <v>35</v>
      </c>
      <c r="C147" s="238">
        <f>C6</f>
        <v>28333.33333</v>
      </c>
      <c r="D147" s="245">
        <f>F146*D138</f>
        <v>3305.555556</v>
      </c>
      <c r="E147" s="238">
        <f t="shared" si="29"/>
        <v>31638.88889</v>
      </c>
      <c r="F147" s="35">
        <f t="shared" si="30"/>
        <v>765000</v>
      </c>
      <c r="H147" s="229"/>
      <c r="L147" s="246"/>
    </row>
    <row r="148" ht="14.25" customHeight="1">
      <c r="A148" s="7"/>
      <c r="B148" s="13" t="s">
        <v>171</v>
      </c>
      <c r="C148" s="238">
        <f>C6</f>
        <v>28333.33333</v>
      </c>
      <c r="D148" s="245">
        <f>F147*D138</f>
        <v>3187.5</v>
      </c>
      <c r="E148" s="238">
        <f t="shared" si="29"/>
        <v>31520.83333</v>
      </c>
      <c r="F148" s="35">
        <f t="shared" si="30"/>
        <v>736666.6667</v>
      </c>
      <c r="H148" s="229"/>
      <c r="I148" s="248" t="s">
        <v>172</v>
      </c>
    </row>
    <row r="149" ht="15.0" customHeight="1">
      <c r="A149" s="7"/>
      <c r="B149" s="13" t="s">
        <v>37</v>
      </c>
      <c r="C149" s="238">
        <f>C6</f>
        <v>28333.33333</v>
      </c>
      <c r="D149" s="245">
        <f>F148*D138</f>
        <v>3069.444444</v>
      </c>
      <c r="E149" s="238">
        <f t="shared" si="29"/>
        <v>31402.77778</v>
      </c>
      <c r="F149" s="35">
        <f t="shared" si="30"/>
        <v>708333.3333</v>
      </c>
      <c r="H149" s="229"/>
      <c r="I149" s="248" t="s">
        <v>99</v>
      </c>
      <c r="K149" s="249"/>
      <c r="L149" s="35"/>
    </row>
    <row r="150" ht="15.0" customHeight="1">
      <c r="A150" s="7"/>
      <c r="B150" s="13" t="s">
        <v>39</v>
      </c>
      <c r="C150" s="238">
        <f>C6</f>
        <v>28333.33333</v>
      </c>
      <c r="D150" s="245">
        <f>F149*D138</f>
        <v>2951.388889</v>
      </c>
      <c r="E150" s="238">
        <f t="shared" si="29"/>
        <v>31284.72222</v>
      </c>
      <c r="F150" s="250">
        <f t="shared" si="30"/>
        <v>680000</v>
      </c>
      <c r="H150" s="229"/>
      <c r="I150" s="19">
        <f>I17</f>
        <v>400</v>
      </c>
      <c r="K150" s="43"/>
      <c r="L150" s="35"/>
    </row>
    <row r="151" ht="15.0" customHeight="1">
      <c r="C151" s="240"/>
      <c r="H151" s="229"/>
      <c r="K151" s="249"/>
      <c r="L151" s="43"/>
    </row>
    <row r="152" ht="18.75" customHeight="1">
      <c r="B152" s="193" t="s">
        <v>159</v>
      </c>
      <c r="C152" s="238">
        <f t="shared" ref="C152:E152" si="31">SUM(C139:C151)</f>
        <v>340000</v>
      </c>
      <c r="D152" s="238">
        <f t="shared" si="31"/>
        <v>43208.33333</v>
      </c>
      <c r="E152" s="251">
        <f t="shared" si="31"/>
        <v>383208.3333</v>
      </c>
      <c r="F152" s="252">
        <f>E152/I19</f>
        <v>264.2816092</v>
      </c>
      <c r="G152" s="253" t="s">
        <v>185</v>
      </c>
      <c r="H152" s="229"/>
      <c r="I152" s="33">
        <f>I19</f>
        <v>1450</v>
      </c>
      <c r="K152" s="193" t="s">
        <v>174</v>
      </c>
      <c r="L152" s="275">
        <f>L144/K139</f>
        <v>333.2471264</v>
      </c>
    </row>
    <row r="153" ht="15.0" customHeight="1">
      <c r="H153" s="229"/>
      <c r="I153" s="233" t="s">
        <v>186</v>
      </c>
      <c r="K153" s="193" t="s">
        <v>187</v>
      </c>
      <c r="L153" s="246"/>
    </row>
    <row r="154" ht="14.25" customHeight="1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</row>
    <row r="155" ht="14.25" customHeight="1">
      <c r="H155" s="229"/>
      <c r="J155" s="11" t="s">
        <v>118</v>
      </c>
      <c r="K155" s="11" t="s">
        <v>161</v>
      </c>
      <c r="L155" s="11" t="s">
        <v>162</v>
      </c>
    </row>
    <row r="156" ht="14.25" customHeight="1">
      <c r="H156" s="229"/>
      <c r="J156" s="232" t="s">
        <v>96</v>
      </c>
      <c r="K156" s="233" t="s">
        <v>118</v>
      </c>
      <c r="L156" s="234" t="s">
        <v>96</v>
      </c>
    </row>
    <row r="157" ht="14.25" customHeight="1">
      <c r="D157" s="235">
        <f>D24</f>
        <v>0.004166666667</v>
      </c>
      <c r="H157" s="229"/>
      <c r="J157" s="35"/>
    </row>
    <row r="158" ht="14.25" customHeight="1">
      <c r="A158" s="7"/>
      <c r="B158" s="13" t="s">
        <v>22</v>
      </c>
      <c r="C158" s="238">
        <f>C6</f>
        <v>28333.33333</v>
      </c>
      <c r="D158" s="237">
        <f>F150*D157</f>
        <v>2833.333333</v>
      </c>
      <c r="E158" s="238">
        <f t="shared" ref="E158:E169" si="33">C158+D158</f>
        <v>31166.66667</v>
      </c>
      <c r="F158" s="35">
        <f>F150-C158</f>
        <v>651666.6667</v>
      </c>
      <c r="H158" s="229"/>
      <c r="J158" s="276">
        <f t="shared" ref="J158:K158" si="32">J6</f>
        <v>500</v>
      </c>
      <c r="K158" s="19">
        <f t="shared" si="32"/>
        <v>1450</v>
      </c>
      <c r="L158" s="238">
        <f>J158*K158</f>
        <v>725000</v>
      </c>
    </row>
    <row r="159" ht="14.25" customHeight="1">
      <c r="A159" s="7"/>
      <c r="B159" s="13" t="s">
        <v>166</v>
      </c>
      <c r="C159" s="238">
        <f>C6</f>
        <v>28333.33333</v>
      </c>
      <c r="D159" s="237">
        <f>F158*D157</f>
        <v>2715.277778</v>
      </c>
      <c r="E159" s="238">
        <f t="shared" si="33"/>
        <v>31048.61111</v>
      </c>
      <c r="F159" s="35">
        <f t="shared" ref="F159:F169" si="34">F158-C159</f>
        <v>623333.3333</v>
      </c>
      <c r="H159" s="229"/>
      <c r="J159" s="240"/>
    </row>
    <row r="160" ht="14.25" customHeight="1">
      <c r="A160" s="7"/>
      <c r="B160" s="13" t="s">
        <v>24</v>
      </c>
      <c r="C160" s="238">
        <f>C6</f>
        <v>28333.33333</v>
      </c>
      <c r="D160" s="237">
        <f>F159*D157</f>
        <v>2597.222222</v>
      </c>
      <c r="E160" s="238">
        <f t="shared" si="33"/>
        <v>30930.55556</v>
      </c>
      <c r="F160" s="35">
        <f t="shared" si="34"/>
        <v>595000</v>
      </c>
      <c r="H160" s="229"/>
      <c r="L160" s="241" t="s">
        <v>104</v>
      </c>
    </row>
    <row r="161" ht="15.0" customHeight="1">
      <c r="A161" s="7"/>
      <c r="B161" s="13" t="s">
        <v>167</v>
      </c>
      <c r="C161" s="238">
        <f>C6</f>
        <v>28333.33333</v>
      </c>
      <c r="D161" s="237">
        <f>F160*D157</f>
        <v>2479.166667</v>
      </c>
      <c r="E161" s="238">
        <f t="shared" si="33"/>
        <v>30812.5</v>
      </c>
      <c r="F161" s="35">
        <f t="shared" si="34"/>
        <v>566666.6667</v>
      </c>
      <c r="H161" s="229"/>
      <c r="J161" s="238"/>
      <c r="K161" s="193" t="s">
        <v>168</v>
      </c>
      <c r="L161" s="238">
        <f>E171</f>
        <v>366208.3333</v>
      </c>
    </row>
    <row r="162" ht="14.25" customHeight="1">
      <c r="A162" s="242">
        <v>9.0</v>
      </c>
      <c r="B162" s="13" t="s">
        <v>28</v>
      </c>
      <c r="C162" s="238">
        <f>C6</f>
        <v>28333.33333</v>
      </c>
      <c r="D162" s="237">
        <f>F161*D157</f>
        <v>2361.111111</v>
      </c>
      <c r="E162" s="238">
        <f t="shared" si="33"/>
        <v>30694.44444</v>
      </c>
      <c r="F162" s="35">
        <f t="shared" si="34"/>
        <v>538333.3333</v>
      </c>
      <c r="H162" s="229"/>
      <c r="K162" s="193" t="s">
        <v>169</v>
      </c>
      <c r="L162" s="238">
        <f>L10</f>
        <v>100000</v>
      </c>
    </row>
    <row r="163" ht="14.25" customHeight="1">
      <c r="A163" s="244"/>
      <c r="B163" s="13" t="s">
        <v>31</v>
      </c>
      <c r="C163" s="238">
        <f>C6</f>
        <v>28333.33333</v>
      </c>
      <c r="D163" s="237">
        <f>F162*D157</f>
        <v>2243.055556</v>
      </c>
      <c r="E163" s="238">
        <f t="shared" si="33"/>
        <v>30576.38889</v>
      </c>
      <c r="F163" s="35">
        <f t="shared" si="34"/>
        <v>510000</v>
      </c>
      <c r="H163" s="229"/>
      <c r="J163" s="219"/>
      <c r="K163" s="212" t="s">
        <v>159</v>
      </c>
      <c r="L163" s="236">
        <f>L161+L162</f>
        <v>466208.3333</v>
      </c>
    </row>
    <row r="164" ht="14.25" customHeight="1">
      <c r="A164" s="244"/>
      <c r="B164" s="13" t="s">
        <v>32</v>
      </c>
      <c r="C164" s="238">
        <f>C6</f>
        <v>28333.33333</v>
      </c>
      <c r="D164" s="245">
        <f>F163*D157</f>
        <v>2125</v>
      </c>
      <c r="E164" s="238">
        <f t="shared" si="33"/>
        <v>30458.33333</v>
      </c>
      <c r="F164" s="35">
        <f t="shared" si="34"/>
        <v>481666.6667</v>
      </c>
      <c r="H164" s="229"/>
    </row>
    <row r="165" ht="15.0" customHeight="1">
      <c r="A165" s="246"/>
      <c r="B165" s="13" t="s">
        <v>170</v>
      </c>
      <c r="C165" s="238">
        <f>C6</f>
        <v>28333.33333</v>
      </c>
      <c r="D165" s="245">
        <f>F164*D157</f>
        <v>2006.944444</v>
      </c>
      <c r="E165" s="238">
        <f t="shared" si="33"/>
        <v>30340.27778</v>
      </c>
      <c r="F165" s="35">
        <f t="shared" si="34"/>
        <v>453333.3333</v>
      </c>
      <c r="H165" s="229"/>
      <c r="L165" s="247">
        <f>L158-L163</f>
        <v>258791.6667</v>
      </c>
    </row>
    <row r="166" ht="15.0" customHeight="1">
      <c r="A166" s="7"/>
      <c r="B166" s="13" t="s">
        <v>35</v>
      </c>
      <c r="C166" s="238">
        <f>C6</f>
        <v>28333.33333</v>
      </c>
      <c r="D166" s="245">
        <f>F165*D157</f>
        <v>1888.888889</v>
      </c>
      <c r="E166" s="238">
        <f t="shared" si="33"/>
        <v>30222.22222</v>
      </c>
      <c r="F166" s="35">
        <f t="shared" si="34"/>
        <v>425000</v>
      </c>
      <c r="H166" s="229"/>
      <c r="L166" s="246"/>
    </row>
    <row r="167" ht="14.25" customHeight="1">
      <c r="A167" s="7"/>
      <c r="B167" s="13" t="s">
        <v>171</v>
      </c>
      <c r="C167" s="238">
        <f>C6</f>
        <v>28333.33333</v>
      </c>
      <c r="D167" s="245">
        <f>F166*D157</f>
        <v>1770.833333</v>
      </c>
      <c r="E167" s="238">
        <f t="shared" si="33"/>
        <v>30104.16667</v>
      </c>
      <c r="F167" s="35">
        <f t="shared" si="34"/>
        <v>396666.6667</v>
      </c>
      <c r="H167" s="229"/>
      <c r="I167" s="248" t="s">
        <v>172</v>
      </c>
    </row>
    <row r="168" ht="15.0" customHeight="1">
      <c r="A168" s="7"/>
      <c r="B168" s="13" t="s">
        <v>37</v>
      </c>
      <c r="C168" s="238">
        <f>C6</f>
        <v>28333.33333</v>
      </c>
      <c r="D168" s="245">
        <f>F167*D157</f>
        <v>1652.777778</v>
      </c>
      <c r="E168" s="238">
        <f t="shared" si="33"/>
        <v>29986.11111</v>
      </c>
      <c r="F168" s="35">
        <f t="shared" si="34"/>
        <v>368333.3333</v>
      </c>
      <c r="H168" s="229"/>
      <c r="I168" s="248" t="s">
        <v>99</v>
      </c>
      <c r="K168" s="249"/>
      <c r="L168" s="35"/>
    </row>
    <row r="169" ht="15.0" customHeight="1">
      <c r="A169" s="7"/>
      <c r="B169" s="13" t="s">
        <v>39</v>
      </c>
      <c r="C169" s="238">
        <f>C6</f>
        <v>28333.33333</v>
      </c>
      <c r="D169" s="245">
        <f>F168*D157</f>
        <v>1534.722222</v>
      </c>
      <c r="E169" s="238">
        <f t="shared" si="33"/>
        <v>29868.05556</v>
      </c>
      <c r="F169" s="250">
        <f t="shared" si="34"/>
        <v>340000</v>
      </c>
      <c r="H169" s="229"/>
      <c r="I169" s="19">
        <f>I17</f>
        <v>400</v>
      </c>
      <c r="K169" s="43"/>
      <c r="L169" s="35"/>
    </row>
    <row r="170" ht="14.25" customHeight="1">
      <c r="C170" s="240"/>
      <c r="H170" s="229"/>
      <c r="K170" s="249"/>
      <c r="L170" s="43"/>
    </row>
    <row r="171" ht="18.75" customHeight="1">
      <c r="B171" s="193" t="s">
        <v>159</v>
      </c>
      <c r="C171" s="238">
        <f t="shared" ref="C171:E171" si="35">SUM(C158:C170)</f>
        <v>340000</v>
      </c>
      <c r="D171" s="238">
        <f t="shared" si="35"/>
        <v>26208.33333</v>
      </c>
      <c r="E171" s="251">
        <f t="shared" si="35"/>
        <v>366208.3333</v>
      </c>
      <c r="F171" s="252">
        <f>E171/I19</f>
        <v>252.5574713</v>
      </c>
      <c r="G171" s="253" t="s">
        <v>185</v>
      </c>
      <c r="H171" s="229"/>
      <c r="I171" s="33">
        <f>I19</f>
        <v>1450</v>
      </c>
      <c r="K171" s="193" t="s">
        <v>174</v>
      </c>
      <c r="L171" s="275">
        <f>L163/K158</f>
        <v>321.5229885</v>
      </c>
    </row>
    <row r="172" ht="15.0" customHeight="1">
      <c r="H172" s="229"/>
      <c r="I172" s="233" t="s">
        <v>186</v>
      </c>
      <c r="K172" s="193" t="s">
        <v>187</v>
      </c>
      <c r="L172" s="246"/>
    </row>
    <row r="173" ht="14.25" customHeight="1">
      <c r="A173" s="229"/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</row>
    <row r="174" ht="14.25" customHeight="1">
      <c r="H174" s="229"/>
      <c r="J174" s="11" t="s">
        <v>118</v>
      </c>
      <c r="K174" s="11" t="s">
        <v>161</v>
      </c>
      <c r="L174" s="11" t="s">
        <v>162</v>
      </c>
    </row>
    <row r="175" ht="14.25" customHeight="1">
      <c r="H175" s="229"/>
      <c r="J175" s="232" t="s">
        <v>96</v>
      </c>
      <c r="K175" s="233" t="s">
        <v>118</v>
      </c>
      <c r="L175" s="234" t="s">
        <v>96</v>
      </c>
    </row>
    <row r="176" ht="14.25" customHeight="1">
      <c r="D176" s="235">
        <f>D43</f>
        <v>0.004166666667</v>
      </c>
      <c r="H176" s="229"/>
      <c r="J176" s="35"/>
    </row>
    <row r="177" ht="14.25" customHeight="1">
      <c r="A177" s="7"/>
      <c r="B177" s="13" t="s">
        <v>22</v>
      </c>
      <c r="C177" s="238">
        <f>C6</f>
        <v>28333.33333</v>
      </c>
      <c r="D177" s="237">
        <f>F169*D176</f>
        <v>1416.666667</v>
      </c>
      <c r="E177" s="238">
        <f t="shared" ref="E177:E188" si="37">C177+D177</f>
        <v>29750</v>
      </c>
      <c r="F177" s="35">
        <f>F169-C177</f>
        <v>311666.6667</v>
      </c>
      <c r="H177" s="229"/>
      <c r="J177" s="276">
        <f t="shared" ref="J177:K177" si="36">J6</f>
        <v>500</v>
      </c>
      <c r="K177" s="19">
        <f t="shared" si="36"/>
        <v>1450</v>
      </c>
      <c r="L177" s="238">
        <f>J177*K177</f>
        <v>725000</v>
      </c>
    </row>
    <row r="178" ht="14.25" customHeight="1">
      <c r="A178" s="7"/>
      <c r="B178" s="13" t="s">
        <v>166</v>
      </c>
      <c r="C178" s="238">
        <f>C6</f>
        <v>28333.33333</v>
      </c>
      <c r="D178" s="237">
        <f>F177*D176</f>
        <v>1298.611111</v>
      </c>
      <c r="E178" s="238">
        <f t="shared" si="37"/>
        <v>29631.94444</v>
      </c>
      <c r="F178" s="35">
        <f t="shared" ref="F178:F188" si="38">F177-C178</f>
        <v>283333.3333</v>
      </c>
      <c r="H178" s="229"/>
      <c r="J178" s="240"/>
    </row>
    <row r="179" ht="14.25" customHeight="1">
      <c r="A179" s="7"/>
      <c r="B179" s="13" t="s">
        <v>24</v>
      </c>
      <c r="C179" s="238">
        <f>C6</f>
        <v>28333.33333</v>
      </c>
      <c r="D179" s="237">
        <f>F178*D176</f>
        <v>1180.555556</v>
      </c>
      <c r="E179" s="238">
        <f t="shared" si="37"/>
        <v>29513.88889</v>
      </c>
      <c r="F179" s="35">
        <f t="shared" si="38"/>
        <v>255000</v>
      </c>
      <c r="H179" s="229"/>
      <c r="L179" s="241" t="s">
        <v>104</v>
      </c>
    </row>
    <row r="180" ht="15.0" customHeight="1">
      <c r="A180" s="7"/>
      <c r="B180" s="13" t="s">
        <v>167</v>
      </c>
      <c r="C180" s="238">
        <f>C6</f>
        <v>28333.33333</v>
      </c>
      <c r="D180" s="237">
        <f>F179*D176</f>
        <v>1062.5</v>
      </c>
      <c r="E180" s="238">
        <f t="shared" si="37"/>
        <v>29395.83333</v>
      </c>
      <c r="F180" s="35">
        <f t="shared" si="38"/>
        <v>226666.6667</v>
      </c>
      <c r="H180" s="229"/>
      <c r="J180" s="238"/>
      <c r="K180" s="193" t="s">
        <v>168</v>
      </c>
      <c r="L180" s="238">
        <f>E190</f>
        <v>349208.3333</v>
      </c>
    </row>
    <row r="181" ht="14.25" customHeight="1">
      <c r="A181" s="242">
        <v>10.0</v>
      </c>
      <c r="B181" s="13" t="s">
        <v>28</v>
      </c>
      <c r="C181" s="238">
        <f>C6</f>
        <v>28333.33333</v>
      </c>
      <c r="D181" s="237">
        <f>F180*D176</f>
        <v>944.4444444</v>
      </c>
      <c r="E181" s="238">
        <f t="shared" si="37"/>
        <v>29277.77778</v>
      </c>
      <c r="F181" s="35">
        <f t="shared" si="38"/>
        <v>198333.3333</v>
      </c>
      <c r="H181" s="229"/>
      <c r="K181" s="193" t="s">
        <v>169</v>
      </c>
      <c r="L181" s="238">
        <f>L10</f>
        <v>100000</v>
      </c>
    </row>
    <row r="182" ht="14.25" customHeight="1">
      <c r="A182" s="244"/>
      <c r="B182" s="13" t="s">
        <v>31</v>
      </c>
      <c r="C182" s="238">
        <f>C6</f>
        <v>28333.33333</v>
      </c>
      <c r="D182" s="237">
        <f>F181*D176</f>
        <v>826.3888889</v>
      </c>
      <c r="E182" s="238">
        <f t="shared" si="37"/>
        <v>29159.72222</v>
      </c>
      <c r="F182" s="35">
        <f t="shared" si="38"/>
        <v>170000</v>
      </c>
      <c r="H182" s="229"/>
      <c r="J182" s="219"/>
      <c r="K182" s="212" t="s">
        <v>159</v>
      </c>
      <c r="L182" s="236">
        <f>L180+L181</f>
        <v>449208.3333</v>
      </c>
    </row>
    <row r="183" ht="14.25" customHeight="1">
      <c r="A183" s="244"/>
      <c r="B183" s="13" t="s">
        <v>32</v>
      </c>
      <c r="C183" s="238">
        <f>C6</f>
        <v>28333.33333</v>
      </c>
      <c r="D183" s="245">
        <f>F182*D176</f>
        <v>708.3333333</v>
      </c>
      <c r="E183" s="238">
        <f t="shared" si="37"/>
        <v>29041.66667</v>
      </c>
      <c r="F183" s="35">
        <f t="shared" si="38"/>
        <v>141666.6667</v>
      </c>
      <c r="H183" s="229"/>
    </row>
    <row r="184" ht="15.0" customHeight="1">
      <c r="A184" s="246"/>
      <c r="B184" s="13" t="s">
        <v>170</v>
      </c>
      <c r="C184" s="238">
        <f>C6</f>
        <v>28333.33333</v>
      </c>
      <c r="D184" s="245">
        <f>F183*D176</f>
        <v>590.2777778</v>
      </c>
      <c r="E184" s="238">
        <f t="shared" si="37"/>
        <v>28923.61111</v>
      </c>
      <c r="F184" s="35">
        <f t="shared" si="38"/>
        <v>113333.3333</v>
      </c>
      <c r="H184" s="229"/>
      <c r="L184" s="247">
        <f>L177-L182</f>
        <v>275791.6667</v>
      </c>
    </row>
    <row r="185" ht="15.0" customHeight="1">
      <c r="A185" s="7"/>
      <c r="B185" s="13" t="s">
        <v>35</v>
      </c>
      <c r="C185" s="238">
        <f>C6</f>
        <v>28333.33333</v>
      </c>
      <c r="D185" s="245">
        <f>F184*D176</f>
        <v>472.2222222</v>
      </c>
      <c r="E185" s="238">
        <f t="shared" si="37"/>
        <v>28805.55556</v>
      </c>
      <c r="F185" s="35">
        <f t="shared" si="38"/>
        <v>85000</v>
      </c>
      <c r="H185" s="229"/>
      <c r="L185" s="246"/>
    </row>
    <row r="186" ht="14.25" customHeight="1">
      <c r="A186" s="7"/>
      <c r="B186" s="13" t="s">
        <v>171</v>
      </c>
      <c r="C186" s="238">
        <f>C6</f>
        <v>28333.33333</v>
      </c>
      <c r="D186" s="245">
        <f>F185*D176</f>
        <v>354.1666667</v>
      </c>
      <c r="E186" s="238">
        <f t="shared" si="37"/>
        <v>28687.5</v>
      </c>
      <c r="F186" s="35">
        <f t="shared" si="38"/>
        <v>56666.66667</v>
      </c>
      <c r="H186" s="229"/>
      <c r="I186" s="248" t="s">
        <v>172</v>
      </c>
    </row>
    <row r="187" ht="15.0" customHeight="1">
      <c r="A187" s="7"/>
      <c r="B187" s="13" t="s">
        <v>37</v>
      </c>
      <c r="C187" s="238">
        <f>C6</f>
        <v>28333.33333</v>
      </c>
      <c r="D187" s="245">
        <f>F186*D176</f>
        <v>236.1111111</v>
      </c>
      <c r="E187" s="238">
        <f t="shared" si="37"/>
        <v>28569.44444</v>
      </c>
      <c r="F187" s="35">
        <f t="shared" si="38"/>
        <v>28333.33333</v>
      </c>
      <c r="H187" s="229"/>
      <c r="I187" s="248" t="s">
        <v>99</v>
      </c>
      <c r="K187" s="249"/>
      <c r="L187" s="35"/>
    </row>
    <row r="188" ht="15.0" customHeight="1">
      <c r="A188" s="7"/>
      <c r="B188" s="13" t="s">
        <v>39</v>
      </c>
      <c r="C188" s="238">
        <f>F187</f>
        <v>28333.33333</v>
      </c>
      <c r="D188" s="245">
        <f>F187*D176</f>
        <v>118.0555556</v>
      </c>
      <c r="E188" s="238">
        <f t="shared" si="37"/>
        <v>28451.38889</v>
      </c>
      <c r="F188" s="250">
        <f t="shared" si="38"/>
        <v>0</v>
      </c>
      <c r="H188" s="229"/>
      <c r="I188" s="19">
        <f>I17</f>
        <v>400</v>
      </c>
      <c r="K188" s="43"/>
      <c r="L188" s="35"/>
    </row>
    <row r="189" ht="14.25" customHeight="1">
      <c r="C189" s="240"/>
      <c r="H189" s="229"/>
      <c r="K189" s="249"/>
      <c r="L189" s="43"/>
    </row>
    <row r="190" ht="18.75" customHeight="1">
      <c r="B190" s="193" t="s">
        <v>159</v>
      </c>
      <c r="C190" s="238">
        <f t="shared" ref="C190:E190" si="39">SUM(C177:C189)</f>
        <v>340000</v>
      </c>
      <c r="D190" s="238">
        <f t="shared" si="39"/>
        <v>9208.333333</v>
      </c>
      <c r="E190" s="251">
        <f t="shared" si="39"/>
        <v>349208.3333</v>
      </c>
      <c r="F190" s="252">
        <f>E190/I19</f>
        <v>240.8333333</v>
      </c>
      <c r="G190" s="253" t="s">
        <v>185</v>
      </c>
      <c r="H190" s="229"/>
      <c r="I190" s="33">
        <f>I19</f>
        <v>1450</v>
      </c>
      <c r="K190" s="193" t="s">
        <v>174</v>
      </c>
      <c r="L190" s="275">
        <f>L182/K177</f>
        <v>309.7988506</v>
      </c>
    </row>
    <row r="191" ht="15.0" customHeight="1">
      <c r="H191" s="229"/>
      <c r="I191" s="233" t="s">
        <v>186</v>
      </c>
      <c r="K191" s="193" t="s">
        <v>187</v>
      </c>
      <c r="L191" s="246"/>
    </row>
    <row r="192" ht="14.25" customHeight="1">
      <c r="A192" s="229"/>
      <c r="B192" s="229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</row>
    <row r="193" ht="14.25" customHeight="1">
      <c r="A193" s="11" t="s">
        <v>177</v>
      </c>
      <c r="D193" s="259" t="s">
        <v>96</v>
      </c>
      <c r="E193" s="260">
        <f>E19+E38+E57+E76+E95+E114+E133+E152+E171+E190</f>
        <v>4257083.333</v>
      </c>
      <c r="H193" s="229"/>
      <c r="I193" s="261" t="s">
        <v>178</v>
      </c>
      <c r="J193" s="9"/>
      <c r="K193" s="9"/>
      <c r="L193" s="10"/>
    </row>
    <row r="194" ht="14.25" customHeight="1">
      <c r="A194" s="262"/>
      <c r="B194" s="262"/>
      <c r="C194" s="262"/>
      <c r="D194" s="263"/>
      <c r="H194" s="229"/>
    </row>
    <row r="195" ht="18.75" customHeight="1">
      <c r="A195" s="11" t="s">
        <v>179</v>
      </c>
      <c r="D195" s="12" t="s">
        <v>118</v>
      </c>
      <c r="E195" s="22">
        <f>I19*10</f>
        <v>14500</v>
      </c>
      <c r="H195" s="229"/>
      <c r="J195" s="11" t="s">
        <v>118</v>
      </c>
      <c r="K195" s="11" t="s">
        <v>161</v>
      </c>
      <c r="L195" s="11" t="s">
        <v>162</v>
      </c>
    </row>
    <row r="196" ht="18.75" customHeight="1">
      <c r="A196" s="262"/>
      <c r="B196" s="262"/>
      <c r="C196" s="262"/>
      <c r="D196" s="263"/>
      <c r="H196" s="229"/>
      <c r="J196" s="232" t="s">
        <v>96</v>
      </c>
      <c r="K196" s="233" t="s">
        <v>118</v>
      </c>
      <c r="L196" s="234" t="s">
        <v>96</v>
      </c>
    </row>
    <row r="197" ht="14.25" customHeight="1">
      <c r="A197" s="264" t="s">
        <v>188</v>
      </c>
      <c r="D197" s="259" t="s">
        <v>96</v>
      </c>
      <c r="E197" s="265">
        <f>E193/E195</f>
        <v>293.591954</v>
      </c>
      <c r="H197" s="229"/>
      <c r="J197" s="35"/>
    </row>
    <row r="198" ht="14.25" customHeight="1">
      <c r="H198" s="229"/>
      <c r="J198" s="276">
        <v>450.0</v>
      </c>
      <c r="K198" s="19">
        <v>1450.0</v>
      </c>
      <c r="L198" s="238">
        <f>J198*K198</f>
        <v>652500</v>
      </c>
    </row>
    <row r="199" ht="14.25" customHeight="1">
      <c r="H199" s="229"/>
      <c r="J199" s="240"/>
    </row>
    <row r="200" ht="14.25" customHeight="1">
      <c r="H200" s="229"/>
      <c r="L200" s="241" t="s">
        <v>104</v>
      </c>
    </row>
    <row r="201" ht="14.25" customHeight="1">
      <c r="H201" s="229"/>
      <c r="K201" s="193" t="s">
        <v>169</v>
      </c>
      <c r="L201" s="238">
        <v>100000.0</v>
      </c>
    </row>
    <row r="202" ht="14.25" customHeight="1">
      <c r="H202" s="229"/>
    </row>
    <row r="203" ht="14.25" customHeight="1">
      <c r="H203" s="229"/>
      <c r="I203" s="277"/>
      <c r="J203" s="277"/>
      <c r="K203" s="278"/>
      <c r="L203" s="247">
        <f>L198-L201</f>
        <v>552500</v>
      </c>
    </row>
    <row r="204" ht="14.25" customHeight="1">
      <c r="H204" s="229"/>
      <c r="I204" s="279"/>
      <c r="J204" s="279"/>
      <c r="K204" s="280"/>
      <c r="L204" s="246"/>
    </row>
    <row r="205" ht="14.25" customHeight="1"/>
    <row r="206" ht="14.25" customHeight="1">
      <c r="I206" s="266" t="s">
        <v>189</v>
      </c>
      <c r="J206" s="267"/>
      <c r="K206" s="281" t="s">
        <v>96</v>
      </c>
      <c r="L206" s="282">
        <f>L201/K198</f>
        <v>68.96551724</v>
      </c>
    </row>
    <row r="207" ht="14.25" customHeight="1">
      <c r="I207" s="270" t="s">
        <v>182</v>
      </c>
      <c r="J207" s="271"/>
      <c r="K207" s="272"/>
      <c r="L207" s="246"/>
    </row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>
      <c r="L213" s="35">
        <f>L19+L38+L57+L76+L95+L114+L133+L152+L171+L190</f>
        <v>3625.574713</v>
      </c>
    </row>
    <row r="214" ht="14.25" customHeight="1">
      <c r="L214" s="35">
        <v>10.0</v>
      </c>
    </row>
    <row r="215" ht="14.25" customHeight="1">
      <c r="L215" s="35"/>
    </row>
    <row r="216" ht="14.25" customHeight="1">
      <c r="I216" s="266" t="s">
        <v>190</v>
      </c>
      <c r="J216" s="267"/>
      <c r="K216" s="268"/>
      <c r="L216" s="283">
        <f>L213/L214</f>
        <v>362.5574713</v>
      </c>
    </row>
    <row r="217" ht="14.25" customHeight="1">
      <c r="I217" s="270" t="s">
        <v>184</v>
      </c>
      <c r="J217" s="271"/>
      <c r="K217" s="272"/>
      <c r="L217" s="246"/>
    </row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L19:L20"/>
    <mergeCell ref="L32:L33"/>
    <mergeCell ref="L38:L39"/>
    <mergeCell ref="B1:C1"/>
    <mergeCell ref="D1:F1"/>
    <mergeCell ref="J1:L1"/>
    <mergeCell ref="A4:B4"/>
    <mergeCell ref="A10:A13"/>
    <mergeCell ref="A29:A32"/>
    <mergeCell ref="A48:A51"/>
    <mergeCell ref="A124:A127"/>
    <mergeCell ref="A143:A146"/>
    <mergeCell ref="A162:A165"/>
    <mergeCell ref="A181:A184"/>
    <mergeCell ref="A193:C193"/>
    <mergeCell ref="A195:C195"/>
    <mergeCell ref="A197:C197"/>
    <mergeCell ref="A67:A70"/>
    <mergeCell ref="L70:L71"/>
    <mergeCell ref="A86:A89"/>
    <mergeCell ref="L89:L90"/>
    <mergeCell ref="A105:A108"/>
    <mergeCell ref="L108:L109"/>
    <mergeCell ref="L127:L128"/>
    <mergeCell ref="L13:L14"/>
    <mergeCell ref="L51:L52"/>
    <mergeCell ref="L57:L58"/>
    <mergeCell ref="L76:L77"/>
    <mergeCell ref="L95:L96"/>
    <mergeCell ref="L114:L115"/>
    <mergeCell ref="L133:L134"/>
    <mergeCell ref="L203:L204"/>
    <mergeCell ref="I206:J206"/>
    <mergeCell ref="K206:K207"/>
    <mergeCell ref="L206:L207"/>
    <mergeCell ref="I207:J207"/>
    <mergeCell ref="I216:K216"/>
    <mergeCell ref="L216:L217"/>
    <mergeCell ref="I217:K217"/>
    <mergeCell ref="L146:L147"/>
    <mergeCell ref="L152:L153"/>
    <mergeCell ref="L165:L166"/>
    <mergeCell ref="L171:L172"/>
    <mergeCell ref="L184:L185"/>
    <mergeCell ref="L190:L191"/>
    <mergeCell ref="I193:L19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0.14"/>
    <col customWidth="1" min="3" max="3" width="1.71"/>
    <col customWidth="1" min="4" max="4" width="12.57"/>
    <col customWidth="1" min="5" max="5" width="1.86"/>
    <col customWidth="1" min="6" max="6" width="14.43"/>
    <col customWidth="1" min="7" max="7" width="2.14"/>
    <col customWidth="1" min="8" max="8" width="14.43"/>
    <col customWidth="1" min="9" max="10" width="8.71"/>
    <col customWidth="1" min="11" max="11" width="11.14"/>
    <col customWidth="1" min="12" max="13" width="11.71"/>
    <col customWidth="1" min="14" max="14" width="11.86"/>
    <col customWidth="1" min="15" max="19" width="8.71"/>
  </cols>
  <sheetData>
    <row r="1">
      <c r="A1" s="8" t="s">
        <v>10</v>
      </c>
      <c r="B1" s="9"/>
      <c r="C1" s="9"/>
      <c r="D1" s="9"/>
      <c r="E1" s="9"/>
      <c r="F1" s="9"/>
      <c r="G1" s="10"/>
      <c r="H1" s="8" t="s">
        <v>11</v>
      </c>
      <c r="I1" s="9"/>
      <c r="J1" s="9"/>
      <c r="K1" s="9"/>
      <c r="L1" s="9"/>
      <c r="M1" s="9"/>
      <c r="N1" s="10"/>
    </row>
    <row r="2" ht="14.25" customHeight="1">
      <c r="B2" s="11" t="s">
        <v>12</v>
      </c>
      <c r="D2" s="11" t="s">
        <v>13</v>
      </c>
      <c r="F2" s="11" t="s">
        <v>14</v>
      </c>
      <c r="H2" s="11" t="s">
        <v>14</v>
      </c>
    </row>
    <row r="3" ht="14.25" customHeight="1">
      <c r="B3" s="11"/>
      <c r="D3" s="11" t="s">
        <v>15</v>
      </c>
      <c r="F3" s="11" t="s">
        <v>16</v>
      </c>
      <c r="H3" s="11" t="s">
        <v>16</v>
      </c>
    </row>
    <row r="4" ht="14.25" customHeight="1">
      <c r="B4" s="11"/>
      <c r="D4" s="11" t="s">
        <v>17</v>
      </c>
      <c r="F4" s="11" t="s">
        <v>17</v>
      </c>
      <c r="H4" s="11" t="s">
        <v>18</v>
      </c>
    </row>
    <row r="5" ht="14.25" customHeight="1">
      <c r="L5" s="12" t="s">
        <v>19</v>
      </c>
      <c r="M5" s="7" t="s">
        <v>20</v>
      </c>
      <c r="N5" s="7" t="s">
        <v>21</v>
      </c>
    </row>
    <row r="6" ht="14.25" customHeight="1">
      <c r="B6" s="13" t="s">
        <v>22</v>
      </c>
      <c r="D6" s="14">
        <v>74.0</v>
      </c>
      <c r="E6" s="15"/>
      <c r="F6" s="14">
        <v>70.0</v>
      </c>
      <c r="G6" s="15"/>
      <c r="H6" s="14">
        <v>70.0</v>
      </c>
      <c r="L6" s="16">
        <v>10.16</v>
      </c>
    </row>
    <row r="7" ht="14.25" customHeight="1">
      <c r="B7" s="13" t="s">
        <v>23</v>
      </c>
      <c r="D7" s="17">
        <v>211.0</v>
      </c>
      <c r="E7" s="18"/>
      <c r="F7" s="17">
        <v>150.0</v>
      </c>
      <c r="G7" s="18"/>
      <c r="H7" s="17">
        <v>150.0</v>
      </c>
      <c r="L7" s="19"/>
      <c r="M7" s="20"/>
    </row>
    <row r="8" ht="14.25" customHeight="1">
      <c r="B8" s="13" t="s">
        <v>24</v>
      </c>
      <c r="D8" s="14">
        <v>337.0</v>
      </c>
      <c r="E8" s="15"/>
      <c r="F8" s="14">
        <v>440.0</v>
      </c>
      <c r="G8" s="15"/>
      <c r="H8" s="14">
        <v>460.0</v>
      </c>
      <c r="L8" s="19"/>
      <c r="M8" s="20">
        <f>L7+L8</f>
        <v>0</v>
      </c>
      <c r="N8" s="7" t="s">
        <v>25</v>
      </c>
    </row>
    <row r="9" ht="14.25" customHeight="1">
      <c r="B9" s="13" t="s">
        <v>26</v>
      </c>
      <c r="D9" s="14">
        <v>490.0</v>
      </c>
      <c r="E9" s="21"/>
      <c r="F9" s="14">
        <v>720.0</v>
      </c>
      <c r="G9" s="21"/>
      <c r="H9" s="14">
        <v>790.0</v>
      </c>
      <c r="L9" s="19"/>
      <c r="M9" s="20">
        <f t="shared" ref="M9:M18" si="1">M8+L9</f>
        <v>0</v>
      </c>
      <c r="N9" s="22">
        <f>L7+L8+L9</f>
        <v>0</v>
      </c>
    </row>
    <row r="10" ht="14.25" customHeight="1">
      <c r="A10" s="23" t="s">
        <v>27</v>
      </c>
      <c r="B10" s="24" t="s">
        <v>28</v>
      </c>
      <c r="C10" s="25"/>
      <c r="D10" s="26">
        <f>D34-D11</f>
        <v>377</v>
      </c>
      <c r="E10" s="27"/>
      <c r="F10" s="26">
        <f>F34-F11</f>
        <v>713</v>
      </c>
      <c r="G10" s="27"/>
      <c r="H10" s="26">
        <f>H34-H11</f>
        <v>790</v>
      </c>
      <c r="L10" s="19"/>
      <c r="M10" s="20">
        <f t="shared" si="1"/>
        <v>0</v>
      </c>
    </row>
    <row r="11" ht="14.25" customHeight="1">
      <c r="A11" s="28" t="s">
        <v>29</v>
      </c>
      <c r="B11" s="13" t="s">
        <v>28</v>
      </c>
      <c r="D11" s="29">
        <v>263.0</v>
      </c>
      <c r="E11" s="30"/>
      <c r="F11" s="29">
        <v>397.0</v>
      </c>
      <c r="G11" s="30"/>
      <c r="H11" s="29">
        <v>430.0</v>
      </c>
      <c r="L11" s="19"/>
      <c r="M11" s="20">
        <f t="shared" si="1"/>
        <v>0</v>
      </c>
      <c r="N11" s="7" t="s">
        <v>30</v>
      </c>
    </row>
    <row r="12" ht="14.25" customHeight="1">
      <c r="B12" s="13" t="s">
        <v>31</v>
      </c>
      <c r="D12" s="31">
        <v>720.0</v>
      </c>
      <c r="E12" s="32"/>
      <c r="F12" s="31">
        <v>1124.0</v>
      </c>
      <c r="G12" s="32"/>
      <c r="H12" s="31">
        <v>1247.0</v>
      </c>
      <c r="L12" s="19"/>
      <c r="M12" s="33">
        <f t="shared" si="1"/>
        <v>0</v>
      </c>
      <c r="N12" s="22">
        <f>L10+L11+L12</f>
        <v>0</v>
      </c>
    </row>
    <row r="13" ht="14.25" customHeight="1">
      <c r="B13" s="13" t="s">
        <v>32</v>
      </c>
      <c r="D13" s="31">
        <v>670.0</v>
      </c>
      <c r="E13" s="32"/>
      <c r="F13" s="31">
        <v>1043.0</v>
      </c>
      <c r="G13" s="32"/>
      <c r="H13" s="31">
        <v>1152.0</v>
      </c>
      <c r="L13" s="19">
        <f>H13*L6</f>
        <v>11704.32</v>
      </c>
      <c r="M13" s="20">
        <f t="shared" si="1"/>
        <v>11704.32</v>
      </c>
    </row>
    <row r="14" ht="14.25" customHeight="1">
      <c r="B14" s="13" t="s">
        <v>33</v>
      </c>
      <c r="D14" s="31">
        <v>668.0</v>
      </c>
      <c r="E14" s="32"/>
      <c r="F14" s="31">
        <v>920.0</v>
      </c>
      <c r="G14" s="32"/>
      <c r="H14" s="31">
        <v>1042.0</v>
      </c>
      <c r="L14" s="19">
        <f>H14*L6</f>
        <v>10586.72</v>
      </c>
      <c r="M14" s="20">
        <f t="shared" si="1"/>
        <v>22291.04</v>
      </c>
      <c r="N14" s="7" t="s">
        <v>34</v>
      </c>
    </row>
    <row r="15" ht="14.25" customHeight="1">
      <c r="B15" s="13" t="s">
        <v>35</v>
      </c>
      <c r="D15" s="31">
        <v>476.0</v>
      </c>
      <c r="E15" s="32"/>
      <c r="F15" s="31">
        <v>654.0</v>
      </c>
      <c r="G15" s="32"/>
      <c r="H15" s="31">
        <v>750.0</v>
      </c>
      <c r="L15" s="19">
        <f>H15*L6</f>
        <v>7620</v>
      </c>
      <c r="M15" s="20">
        <f t="shared" si="1"/>
        <v>29911.04</v>
      </c>
      <c r="N15" s="22">
        <f>L13+L14+L15</f>
        <v>29911.04</v>
      </c>
    </row>
    <row r="16" ht="14.25" customHeight="1">
      <c r="B16" s="13" t="s">
        <v>36</v>
      </c>
      <c r="D16" s="31">
        <v>331.0</v>
      </c>
      <c r="E16" s="32"/>
      <c r="F16" s="31">
        <v>457.0</v>
      </c>
      <c r="G16" s="32"/>
      <c r="H16" s="31">
        <v>460.0</v>
      </c>
      <c r="L16" s="19">
        <f>H16*L6</f>
        <v>4673.6</v>
      </c>
      <c r="M16" s="20">
        <f t="shared" si="1"/>
        <v>34584.64</v>
      </c>
    </row>
    <row r="17" ht="14.25" customHeight="1">
      <c r="B17" s="13" t="s">
        <v>37</v>
      </c>
      <c r="D17" s="31">
        <v>102.0</v>
      </c>
      <c r="E17" s="32"/>
      <c r="F17" s="31">
        <v>140.0</v>
      </c>
      <c r="G17" s="32"/>
      <c r="H17" s="31">
        <v>150.0</v>
      </c>
      <c r="L17" s="19">
        <f>H17*L6</f>
        <v>1524</v>
      </c>
      <c r="M17" s="20">
        <f t="shared" si="1"/>
        <v>36108.64</v>
      </c>
      <c r="N17" s="7" t="s">
        <v>38</v>
      </c>
    </row>
    <row r="18" ht="14.25" customHeight="1">
      <c r="B18" s="13" t="s">
        <v>39</v>
      </c>
      <c r="D18" s="34">
        <v>50.0</v>
      </c>
      <c r="E18" s="32"/>
      <c r="F18" s="34">
        <v>51.0</v>
      </c>
      <c r="G18" s="32"/>
      <c r="H18" s="34">
        <v>55.0</v>
      </c>
      <c r="L18" s="19">
        <f>H18*L6</f>
        <v>558.8</v>
      </c>
      <c r="M18" s="33">
        <f t="shared" si="1"/>
        <v>36667.44</v>
      </c>
      <c r="N18" s="22">
        <f>L16+L17+L18</f>
        <v>6756.4</v>
      </c>
    </row>
    <row r="19" ht="14.25" customHeight="1">
      <c r="B19" s="35">
        <f>H19+F19+D19</f>
        <v>13352</v>
      </c>
      <c r="D19" s="36">
        <f>SUM(D11:D18)</f>
        <v>3280</v>
      </c>
      <c r="F19" s="36">
        <f>SUM(F11:F18)</f>
        <v>4786</v>
      </c>
      <c r="H19" s="36">
        <f>SUM(H11:H18)</f>
        <v>5286</v>
      </c>
      <c r="L19" s="36">
        <f>SUM(L7:L18)</f>
        <v>36667.44</v>
      </c>
    </row>
    <row r="20" ht="14.25" customHeight="1">
      <c r="B20" s="35"/>
      <c r="D20" s="37"/>
      <c r="F20" s="37"/>
      <c r="H20" s="37"/>
    </row>
    <row r="21" ht="14.25" customHeight="1">
      <c r="B21" s="38" t="s">
        <v>40</v>
      </c>
      <c r="D21" s="39">
        <f>D6+D7+D8+D9+D10+D11+D12+D13+D14+D15+D16+D17+D18</f>
        <v>4769</v>
      </c>
      <c r="E21" s="40"/>
      <c r="F21" s="39">
        <f>F6+F7+F8+F9+F10+F11+F12+F13+F14+F15+F16+F17+F18</f>
        <v>6879</v>
      </c>
      <c r="G21" s="40"/>
      <c r="H21" s="39">
        <f>H6+H7+H8+H9+H10+H11+H12+H13+H14+H15+H16+H17+H18</f>
        <v>7546</v>
      </c>
    </row>
    <row r="22" ht="14.25" customHeight="1">
      <c r="F22" s="41">
        <v>0.45</v>
      </c>
      <c r="H22" s="41" t="s">
        <v>41</v>
      </c>
    </row>
    <row r="23" ht="14.25" customHeight="1">
      <c r="F23" s="41"/>
      <c r="H23" s="41"/>
    </row>
    <row r="24" ht="14.25" customHeight="1">
      <c r="A24" s="8" t="s">
        <v>42</v>
      </c>
      <c r="B24" s="9"/>
      <c r="C24" s="9"/>
      <c r="D24" s="9"/>
      <c r="E24" s="9"/>
      <c r="F24" s="9"/>
      <c r="G24" s="10"/>
      <c r="H24" s="8" t="s">
        <v>43</v>
      </c>
      <c r="I24" s="9"/>
      <c r="J24" s="9"/>
      <c r="K24" s="9"/>
      <c r="L24" s="9"/>
      <c r="M24" s="9"/>
      <c r="N24" s="10"/>
      <c r="S24" s="28" t="s">
        <v>44</v>
      </c>
    </row>
    <row r="25" ht="14.25" customHeight="1">
      <c r="B25" s="11" t="s">
        <v>12</v>
      </c>
      <c r="D25" s="42" t="s">
        <v>13</v>
      </c>
      <c r="F25" s="42" t="s">
        <v>14</v>
      </c>
      <c r="H25" s="42" t="s">
        <v>14</v>
      </c>
      <c r="I25" s="43"/>
      <c r="L25" s="44" t="s">
        <v>45</v>
      </c>
      <c r="M25" s="45"/>
      <c r="N25" s="45"/>
    </row>
    <row r="26" ht="14.25" customHeight="1">
      <c r="B26" s="11"/>
      <c r="D26" s="42" t="s">
        <v>15</v>
      </c>
      <c r="F26" s="42" t="s">
        <v>46</v>
      </c>
      <c r="H26" s="42" t="s">
        <v>46</v>
      </c>
      <c r="I26" s="43"/>
      <c r="L26" s="11" t="s">
        <v>47</v>
      </c>
    </row>
    <row r="27" ht="14.25" customHeight="1">
      <c r="B27" s="11"/>
      <c r="D27" s="42" t="s">
        <v>17</v>
      </c>
      <c r="F27" s="42" t="s">
        <v>17</v>
      </c>
      <c r="H27" s="42" t="s">
        <v>18</v>
      </c>
      <c r="I27" s="7" t="s">
        <v>48</v>
      </c>
      <c r="J27" s="7" t="s">
        <v>18</v>
      </c>
    </row>
    <row r="28" ht="14.25" customHeight="1">
      <c r="B28" s="11"/>
      <c r="D28" s="46" t="s">
        <v>49</v>
      </c>
      <c r="E28" s="47"/>
      <c r="F28" s="46" t="s">
        <v>50</v>
      </c>
      <c r="G28" s="47"/>
      <c r="H28" s="46" t="s">
        <v>51</v>
      </c>
      <c r="I28" s="7" t="s">
        <v>20</v>
      </c>
      <c r="J28" s="7" t="s">
        <v>20</v>
      </c>
      <c r="L28" s="12" t="s">
        <v>19</v>
      </c>
      <c r="M28" s="7" t="s">
        <v>20</v>
      </c>
      <c r="N28" s="7" t="s">
        <v>21</v>
      </c>
    </row>
    <row r="29" ht="14.25" customHeight="1">
      <c r="D29" s="48"/>
      <c r="F29" s="49">
        <v>4.86</v>
      </c>
      <c r="H29" s="49">
        <v>4.92</v>
      </c>
      <c r="I29" s="43"/>
      <c r="L29" s="50">
        <v>10.16</v>
      </c>
      <c r="M29" s="25"/>
      <c r="N29" s="25"/>
    </row>
    <row r="30" ht="14.25" customHeight="1">
      <c r="B30" s="51" t="s">
        <v>22</v>
      </c>
      <c r="C30" s="52"/>
      <c r="D30" s="31">
        <v>74.0</v>
      </c>
      <c r="E30" s="52"/>
      <c r="F30" s="31">
        <v>70.0</v>
      </c>
      <c r="G30" s="52"/>
      <c r="H30" s="31">
        <v>85.0</v>
      </c>
      <c r="I30" s="53"/>
      <c r="L30" s="19">
        <f>H30*L29</f>
        <v>863.6</v>
      </c>
      <c r="M30" s="20"/>
    </row>
    <row r="31" ht="14.25" customHeight="1">
      <c r="B31" s="13" t="s">
        <v>23</v>
      </c>
      <c r="D31" s="54">
        <v>211.0</v>
      </c>
      <c r="F31" s="54">
        <v>150.0</v>
      </c>
      <c r="H31" s="54">
        <v>165.0</v>
      </c>
      <c r="I31" s="55">
        <f>F30+F31</f>
        <v>220</v>
      </c>
      <c r="J31" s="35">
        <f>H30+H31</f>
        <v>250</v>
      </c>
      <c r="L31" s="19">
        <f>H31*L29</f>
        <v>1676.4</v>
      </c>
      <c r="M31" s="20">
        <f>L30+L31</f>
        <v>2540</v>
      </c>
      <c r="N31" s="7" t="s">
        <v>25</v>
      </c>
    </row>
    <row r="32" ht="14.25" customHeight="1">
      <c r="B32" s="51" t="s">
        <v>24</v>
      </c>
      <c r="C32" s="52"/>
      <c r="D32" s="31">
        <v>337.0</v>
      </c>
      <c r="E32" s="52"/>
      <c r="F32" s="31">
        <v>440.0</v>
      </c>
      <c r="G32" s="52"/>
      <c r="H32" s="31">
        <v>500.0</v>
      </c>
      <c r="I32" s="56">
        <f t="shared" ref="I32:I41" si="2">I31+F32</f>
        <v>660</v>
      </c>
      <c r="J32" s="57">
        <f t="shared" ref="J32:J36" si="3">J31+H32</f>
        <v>750</v>
      </c>
      <c r="L32" s="58">
        <f>H32*L29</f>
        <v>5080</v>
      </c>
      <c r="M32" s="59">
        <f t="shared" ref="M32:M41" si="4">M31+L32</f>
        <v>7620</v>
      </c>
      <c r="N32" s="22">
        <f>L30+L31+L32</f>
        <v>7620</v>
      </c>
    </row>
    <row r="33" ht="14.25" customHeight="1">
      <c r="B33" s="13" t="s">
        <v>26</v>
      </c>
      <c r="D33" s="54">
        <v>490.0</v>
      </c>
      <c r="F33" s="54">
        <v>720.0</v>
      </c>
      <c r="H33" s="54">
        <v>800.0</v>
      </c>
      <c r="I33" s="55">
        <f t="shared" si="2"/>
        <v>1380</v>
      </c>
      <c r="J33" s="35">
        <f t="shared" si="3"/>
        <v>1550</v>
      </c>
      <c r="L33" s="19">
        <f>H33*L29</f>
        <v>8128</v>
      </c>
      <c r="M33" s="20">
        <f t="shared" si="4"/>
        <v>15748</v>
      </c>
    </row>
    <row r="34" ht="14.25" customHeight="1">
      <c r="A34" s="60"/>
      <c r="B34" s="51" t="s">
        <v>28</v>
      </c>
      <c r="C34" s="52"/>
      <c r="D34" s="31">
        <v>640.0</v>
      </c>
      <c r="E34" s="52"/>
      <c r="F34" s="31">
        <v>1110.0</v>
      </c>
      <c r="G34" s="52"/>
      <c r="H34" s="31">
        <v>1220.0</v>
      </c>
      <c r="I34" s="55">
        <f t="shared" si="2"/>
        <v>2490</v>
      </c>
      <c r="J34" s="35">
        <f t="shared" si="3"/>
        <v>2770</v>
      </c>
      <c r="L34" s="19">
        <f>H34*L29</f>
        <v>12395.2</v>
      </c>
      <c r="M34" s="20">
        <f t="shared" si="4"/>
        <v>28143.2</v>
      </c>
      <c r="N34" s="7" t="s">
        <v>30</v>
      </c>
    </row>
    <row r="35" ht="14.25" customHeight="1">
      <c r="B35" s="13" t="s">
        <v>31</v>
      </c>
      <c r="C35" s="43"/>
      <c r="D35" s="54">
        <v>683.0</v>
      </c>
      <c r="E35" s="43"/>
      <c r="F35" s="54">
        <v>1110.0</v>
      </c>
      <c r="G35" s="43"/>
      <c r="H35" s="54">
        <v>1250.0</v>
      </c>
      <c r="I35" s="56">
        <f t="shared" si="2"/>
        <v>3600</v>
      </c>
      <c r="J35" s="57">
        <f t="shared" si="3"/>
        <v>4020</v>
      </c>
      <c r="L35" s="58">
        <f>H35*L29</f>
        <v>12700</v>
      </c>
      <c r="M35" s="59">
        <f t="shared" si="4"/>
        <v>40843.2</v>
      </c>
      <c r="N35" s="22">
        <f>L33+L34+L35</f>
        <v>33223.2</v>
      </c>
    </row>
    <row r="36" ht="14.25" customHeight="1">
      <c r="B36" s="51" t="s">
        <v>32</v>
      </c>
      <c r="C36" s="52"/>
      <c r="D36" s="31">
        <v>173.0</v>
      </c>
      <c r="E36" s="52"/>
      <c r="F36" s="31">
        <v>970.0</v>
      </c>
      <c r="G36" s="52"/>
      <c r="H36" s="31">
        <v>1080.0</v>
      </c>
      <c r="I36" s="55">
        <f t="shared" si="2"/>
        <v>4570</v>
      </c>
      <c r="J36" s="35">
        <f t="shared" si="3"/>
        <v>5100</v>
      </c>
      <c r="L36" s="19">
        <f>H36*L29</f>
        <v>10972.8</v>
      </c>
      <c r="M36" s="20">
        <f t="shared" si="4"/>
        <v>51816</v>
      </c>
    </row>
    <row r="37" ht="14.25" customHeight="1">
      <c r="B37" s="13" t="s">
        <v>33</v>
      </c>
      <c r="D37" s="54"/>
      <c r="F37" s="54">
        <v>770.0</v>
      </c>
      <c r="H37" s="54">
        <v>850.0</v>
      </c>
      <c r="I37" s="55">
        <f t="shared" si="2"/>
        <v>5340</v>
      </c>
      <c r="J37" s="35">
        <f>H37+J36</f>
        <v>5950</v>
      </c>
      <c r="L37" s="19">
        <f>H37*L29</f>
        <v>8636</v>
      </c>
      <c r="M37" s="20">
        <f t="shared" si="4"/>
        <v>60452</v>
      </c>
      <c r="N37" s="7" t="s">
        <v>34</v>
      </c>
    </row>
    <row r="38" ht="14.25" customHeight="1">
      <c r="B38" s="51" t="s">
        <v>35</v>
      </c>
      <c r="C38" s="52"/>
      <c r="D38" s="31"/>
      <c r="E38" s="52"/>
      <c r="F38" s="31">
        <v>910.0</v>
      </c>
      <c r="G38" s="52"/>
      <c r="H38" s="31">
        <v>980.0</v>
      </c>
      <c r="I38" s="56">
        <f t="shared" si="2"/>
        <v>6250</v>
      </c>
      <c r="J38" s="57">
        <f t="shared" ref="J38:J41" si="5">J37+H38</f>
        <v>6930</v>
      </c>
      <c r="L38" s="58">
        <f>H38*L29</f>
        <v>9956.8</v>
      </c>
      <c r="M38" s="61">
        <f t="shared" si="4"/>
        <v>70408.8</v>
      </c>
      <c r="N38" s="22">
        <f>L36+L37+L38</f>
        <v>29565.6</v>
      </c>
    </row>
    <row r="39" ht="14.25" customHeight="1">
      <c r="B39" s="13" t="s">
        <v>36</v>
      </c>
      <c r="D39" s="54"/>
      <c r="F39" s="54">
        <v>320.0</v>
      </c>
      <c r="H39" s="54">
        <v>350.0</v>
      </c>
      <c r="I39" s="55">
        <f t="shared" si="2"/>
        <v>6570</v>
      </c>
      <c r="J39" s="35">
        <f t="shared" si="5"/>
        <v>7280</v>
      </c>
      <c r="L39" s="19">
        <f>H39*L29</f>
        <v>3556</v>
      </c>
      <c r="M39" s="20">
        <f t="shared" si="4"/>
        <v>73964.8</v>
      </c>
    </row>
    <row r="40" ht="14.25" customHeight="1">
      <c r="B40" s="51" t="s">
        <v>37</v>
      </c>
      <c r="C40" s="52"/>
      <c r="D40" s="31"/>
      <c r="E40" s="52"/>
      <c r="F40" s="31">
        <v>170.0</v>
      </c>
      <c r="G40" s="52"/>
      <c r="H40" s="31">
        <v>180.0</v>
      </c>
      <c r="I40" s="55">
        <f t="shared" si="2"/>
        <v>6740</v>
      </c>
      <c r="J40" s="35">
        <f t="shared" si="5"/>
        <v>7460</v>
      </c>
      <c r="L40" s="19">
        <f>H40*L29</f>
        <v>1828.8</v>
      </c>
      <c r="M40" s="20">
        <f t="shared" si="4"/>
        <v>75793.6</v>
      </c>
      <c r="N40" s="7" t="s">
        <v>38</v>
      </c>
    </row>
    <row r="41" ht="14.25" customHeight="1">
      <c r="B41" s="51" t="s">
        <v>39</v>
      </c>
      <c r="C41" s="52"/>
      <c r="D41" s="34"/>
      <c r="E41" s="52"/>
      <c r="F41" s="34">
        <v>90.0</v>
      </c>
      <c r="G41" s="52"/>
      <c r="H41" s="34">
        <v>95.0</v>
      </c>
      <c r="I41" s="56">
        <f t="shared" si="2"/>
        <v>6830</v>
      </c>
      <c r="J41" s="57">
        <f t="shared" si="5"/>
        <v>7555</v>
      </c>
      <c r="L41" s="58">
        <f>H41*L29</f>
        <v>965.2</v>
      </c>
      <c r="M41" s="61">
        <f t="shared" si="4"/>
        <v>76758.8</v>
      </c>
      <c r="N41" s="22">
        <f>L39+L40+L41</f>
        <v>6350</v>
      </c>
    </row>
    <row r="42" ht="14.25" customHeight="1">
      <c r="B42" s="35"/>
      <c r="D42" s="36">
        <f>SUM(D30:D41)</f>
        <v>2608</v>
      </c>
      <c r="F42" s="36">
        <f>SUM(F30:F41)</f>
        <v>6830</v>
      </c>
      <c r="H42" s="36">
        <f>SUM(H30:H41)</f>
        <v>7555</v>
      </c>
      <c r="L42" s="62">
        <f>SUM(L30:L41)</f>
        <v>76758.8</v>
      </c>
    </row>
    <row r="43" ht="14.25" customHeight="1">
      <c r="F43" s="63">
        <f>F42/F29</f>
        <v>1405.349794</v>
      </c>
      <c r="H43" s="63">
        <f>H42/H29</f>
        <v>1535.569106</v>
      </c>
      <c r="I43" s="5" t="s">
        <v>52</v>
      </c>
    </row>
    <row r="44" ht="14.25" customHeight="1">
      <c r="H44" s="64">
        <v>0.09</v>
      </c>
    </row>
    <row r="45" ht="14.25" customHeight="1">
      <c r="A45" s="8" t="str">
        <f>A24</f>
        <v>Uzyski z instalacji w roku  </v>
      </c>
      <c r="B45" s="9"/>
      <c r="C45" s="9"/>
      <c r="D45" s="9"/>
      <c r="E45" s="9"/>
      <c r="F45" s="9"/>
      <c r="G45" s="10"/>
      <c r="H45" s="8" t="s">
        <v>53</v>
      </c>
      <c r="I45" s="9"/>
      <c r="J45" s="9"/>
      <c r="K45" s="9"/>
      <c r="L45" s="9"/>
      <c r="M45" s="9"/>
      <c r="N45" s="10"/>
    </row>
    <row r="46" ht="14.25" customHeight="1">
      <c r="B46" s="11" t="s">
        <v>12</v>
      </c>
      <c r="D46" s="42" t="s">
        <v>13</v>
      </c>
      <c r="F46" s="42" t="s">
        <v>14</v>
      </c>
      <c r="H46" s="42" t="s">
        <v>14</v>
      </c>
      <c r="I46" s="43"/>
      <c r="L46" s="44" t="s">
        <v>45</v>
      </c>
      <c r="M46" s="45"/>
      <c r="N46" s="45"/>
    </row>
    <row r="47" ht="14.25" customHeight="1">
      <c r="B47" s="11"/>
      <c r="D47" s="42" t="s">
        <v>15</v>
      </c>
      <c r="F47" s="42" t="s">
        <v>46</v>
      </c>
      <c r="H47" s="42" t="s">
        <v>46</v>
      </c>
      <c r="I47" s="43"/>
      <c r="L47" s="11" t="s">
        <v>47</v>
      </c>
    </row>
    <row r="48" ht="14.25" customHeight="1">
      <c r="B48" s="11"/>
      <c r="D48" s="42" t="s">
        <v>17</v>
      </c>
      <c r="F48" s="42" t="s">
        <v>17</v>
      </c>
      <c r="H48" s="42" t="s">
        <v>18</v>
      </c>
      <c r="I48" s="7" t="s">
        <v>48</v>
      </c>
      <c r="J48" s="7" t="s">
        <v>18</v>
      </c>
    </row>
    <row r="49" ht="14.25" customHeight="1">
      <c r="B49" s="11"/>
      <c r="D49" s="46" t="s">
        <v>49</v>
      </c>
      <c r="E49" s="47"/>
      <c r="F49" s="46" t="s">
        <v>50</v>
      </c>
      <c r="G49" s="47"/>
      <c r="H49" s="46" t="s">
        <v>51</v>
      </c>
      <c r="I49" s="7" t="s">
        <v>20</v>
      </c>
      <c r="J49" s="7" t="s">
        <v>20</v>
      </c>
      <c r="L49" s="65" t="s">
        <v>19</v>
      </c>
      <c r="M49" s="7" t="s">
        <v>20</v>
      </c>
      <c r="N49" s="7" t="s">
        <v>21</v>
      </c>
    </row>
    <row r="50" ht="14.25" customHeight="1">
      <c r="D50" s="48"/>
      <c r="F50" s="49">
        <v>4.86</v>
      </c>
      <c r="H50" s="49">
        <v>4.92</v>
      </c>
      <c r="I50" s="43"/>
      <c r="L50" s="50">
        <v>10.16</v>
      </c>
      <c r="M50" s="25"/>
      <c r="N50" s="25"/>
    </row>
    <row r="51" ht="14.25" customHeight="1">
      <c r="B51" s="51" t="s">
        <v>22</v>
      </c>
      <c r="C51" s="52"/>
      <c r="D51" s="31"/>
      <c r="E51" s="52"/>
      <c r="F51" s="31">
        <v>171.0</v>
      </c>
      <c r="G51" s="52"/>
      <c r="H51" s="31">
        <v>180.0</v>
      </c>
      <c r="I51" s="53"/>
      <c r="L51" s="19">
        <f>H51*L50</f>
        <v>1828.8</v>
      </c>
      <c r="M51" s="66"/>
    </row>
    <row r="52" ht="14.25" customHeight="1">
      <c r="B52" s="13" t="s">
        <v>23</v>
      </c>
      <c r="D52" s="54"/>
      <c r="F52" s="54">
        <v>184.0</v>
      </c>
      <c r="H52" s="54">
        <v>200.0</v>
      </c>
      <c r="I52" s="55">
        <f>F51+F52</f>
        <v>355</v>
      </c>
      <c r="J52" s="35">
        <f>H51+H52</f>
        <v>380</v>
      </c>
      <c r="L52" s="19">
        <f>H52*L50</f>
        <v>2032</v>
      </c>
      <c r="M52" s="20">
        <f>L51+L52</f>
        <v>3860.8</v>
      </c>
      <c r="N52" s="7" t="s">
        <v>25</v>
      </c>
    </row>
    <row r="53" ht="14.25" customHeight="1">
      <c r="B53" s="51" t="s">
        <v>24</v>
      </c>
      <c r="C53" s="52"/>
      <c r="D53" s="31"/>
      <c r="E53" s="52"/>
      <c r="F53" s="31">
        <v>471.5</v>
      </c>
      <c r="G53" s="52"/>
      <c r="H53" s="31">
        <v>510.0</v>
      </c>
      <c r="I53" s="56">
        <f t="shared" ref="I53:I62" si="6">I52+F53</f>
        <v>826.5</v>
      </c>
      <c r="J53" s="57">
        <f t="shared" ref="J53:J62" si="7">J52+H53</f>
        <v>890</v>
      </c>
      <c r="L53" s="58">
        <f>H53*L50</f>
        <v>5181.6</v>
      </c>
      <c r="M53" s="59">
        <f t="shared" ref="M53:M62" si="8">M52+L53</f>
        <v>9042.4</v>
      </c>
      <c r="N53" s="22">
        <f>L51+L52+L53</f>
        <v>9042.4</v>
      </c>
    </row>
    <row r="54" ht="14.25" customHeight="1">
      <c r="B54" s="13" t="s">
        <v>26</v>
      </c>
      <c r="D54" s="54"/>
      <c r="F54" s="54">
        <v>711.0</v>
      </c>
      <c r="H54" s="54">
        <v>780.0</v>
      </c>
      <c r="I54" s="55">
        <f t="shared" si="6"/>
        <v>1537.5</v>
      </c>
      <c r="J54" s="35">
        <f t="shared" si="7"/>
        <v>1670</v>
      </c>
      <c r="L54" s="19">
        <f>H54*L50</f>
        <v>7924.8</v>
      </c>
      <c r="M54" s="20">
        <f t="shared" si="8"/>
        <v>16967.2</v>
      </c>
    </row>
    <row r="55" ht="14.25" customHeight="1">
      <c r="A55" s="60"/>
      <c r="B55" s="51" t="s">
        <v>28</v>
      </c>
      <c r="C55" s="52"/>
      <c r="D55" s="31"/>
      <c r="E55" s="52"/>
      <c r="F55" s="31">
        <v>1240.0</v>
      </c>
      <c r="G55" s="52"/>
      <c r="H55" s="31">
        <v>1390.0</v>
      </c>
      <c r="I55" s="55">
        <f t="shared" si="6"/>
        <v>2777.5</v>
      </c>
      <c r="J55" s="35">
        <f t="shared" si="7"/>
        <v>3060</v>
      </c>
      <c r="L55" s="19">
        <f>H55*L50</f>
        <v>14122.4</v>
      </c>
      <c r="M55" s="20">
        <f t="shared" si="8"/>
        <v>31089.6</v>
      </c>
      <c r="N55" s="7" t="s">
        <v>30</v>
      </c>
    </row>
    <row r="56" ht="14.25" customHeight="1">
      <c r="B56" s="13" t="s">
        <v>31</v>
      </c>
      <c r="C56" s="43"/>
      <c r="D56" s="54"/>
      <c r="E56" s="43"/>
      <c r="F56" s="54">
        <v>1016.0</v>
      </c>
      <c r="G56" s="43"/>
      <c r="H56" s="54">
        <v>1150.0</v>
      </c>
      <c r="I56" s="56">
        <f t="shared" si="6"/>
        <v>3793.5</v>
      </c>
      <c r="J56" s="57">
        <f t="shared" si="7"/>
        <v>4210</v>
      </c>
      <c r="L56" s="58">
        <f>H56*L50</f>
        <v>11684</v>
      </c>
      <c r="M56" s="59">
        <f t="shared" si="8"/>
        <v>42773.6</v>
      </c>
      <c r="N56" s="22">
        <f>L54+L55+L56</f>
        <v>33731.2</v>
      </c>
    </row>
    <row r="57" ht="14.25" customHeight="1">
      <c r="B57" s="51" t="s">
        <v>32</v>
      </c>
      <c r="C57" s="52"/>
      <c r="D57" s="31"/>
      <c r="E57" s="52"/>
      <c r="F57" s="31">
        <v>1030.0</v>
      </c>
      <c r="G57" s="52"/>
      <c r="H57" s="31">
        <v>1160.0</v>
      </c>
      <c r="I57" s="55">
        <f t="shared" si="6"/>
        <v>4823.5</v>
      </c>
      <c r="J57" s="35">
        <f t="shared" si="7"/>
        <v>5370</v>
      </c>
      <c r="L57" s="19">
        <f>H57*L50</f>
        <v>11785.6</v>
      </c>
      <c r="M57" s="20">
        <f t="shared" si="8"/>
        <v>54559.2</v>
      </c>
    </row>
    <row r="58" ht="14.25" customHeight="1">
      <c r="B58" s="13" t="s">
        <v>33</v>
      </c>
      <c r="D58" s="54"/>
      <c r="F58" s="54">
        <v>1040.0</v>
      </c>
      <c r="H58" s="54">
        <v>1150.0</v>
      </c>
      <c r="I58" s="55">
        <f t="shared" si="6"/>
        <v>5863.5</v>
      </c>
      <c r="J58" s="35">
        <f t="shared" si="7"/>
        <v>6520</v>
      </c>
      <c r="L58" s="19">
        <f>H58*L50</f>
        <v>11684</v>
      </c>
      <c r="M58" s="20">
        <f t="shared" si="8"/>
        <v>66243.2</v>
      </c>
      <c r="N58" s="7" t="s">
        <v>34</v>
      </c>
    </row>
    <row r="59" ht="14.25" customHeight="1">
      <c r="B59" s="51" t="s">
        <v>35</v>
      </c>
      <c r="C59" s="52"/>
      <c r="D59" s="31"/>
      <c r="E59" s="52"/>
      <c r="F59" s="31">
        <v>750.0</v>
      </c>
      <c r="G59" s="52"/>
      <c r="H59" s="31">
        <v>800.0</v>
      </c>
      <c r="I59" s="56">
        <f t="shared" si="6"/>
        <v>6613.5</v>
      </c>
      <c r="J59" s="57">
        <f t="shared" si="7"/>
        <v>7320</v>
      </c>
      <c r="L59" s="58">
        <f>H59*L50</f>
        <v>8128</v>
      </c>
      <c r="M59" s="59">
        <f t="shared" si="8"/>
        <v>74371.2</v>
      </c>
      <c r="N59" s="22">
        <f>L57+L58+L59</f>
        <v>31597.6</v>
      </c>
    </row>
    <row r="60" ht="14.25" customHeight="1">
      <c r="B60" s="13" t="s">
        <v>36</v>
      </c>
      <c r="D60" s="54"/>
      <c r="F60" s="54">
        <v>440.0</v>
      </c>
      <c r="H60" s="54">
        <v>470.0</v>
      </c>
      <c r="I60" s="55">
        <f t="shared" si="6"/>
        <v>7053.5</v>
      </c>
      <c r="J60" s="35">
        <f t="shared" si="7"/>
        <v>7790</v>
      </c>
      <c r="L60" s="19">
        <f>H60*L50</f>
        <v>4775.2</v>
      </c>
      <c r="M60" s="20">
        <f t="shared" si="8"/>
        <v>79146.4</v>
      </c>
    </row>
    <row r="61" ht="14.25" customHeight="1">
      <c r="B61" s="51" t="s">
        <v>37</v>
      </c>
      <c r="C61" s="52"/>
      <c r="D61" s="31"/>
      <c r="E61" s="52"/>
      <c r="F61" s="31">
        <v>150.0</v>
      </c>
      <c r="G61" s="52"/>
      <c r="H61" s="31">
        <v>160.0</v>
      </c>
      <c r="I61" s="55">
        <f t="shared" si="6"/>
        <v>7203.5</v>
      </c>
      <c r="J61" s="35">
        <f t="shared" si="7"/>
        <v>7950</v>
      </c>
      <c r="L61" s="19">
        <f>H61*L50</f>
        <v>1625.6</v>
      </c>
      <c r="M61" s="20">
        <f t="shared" si="8"/>
        <v>80772</v>
      </c>
      <c r="N61" s="7" t="s">
        <v>38</v>
      </c>
    </row>
    <row r="62" ht="14.25" customHeight="1">
      <c r="B62" s="51" t="s">
        <v>39</v>
      </c>
      <c r="C62" s="52"/>
      <c r="D62" s="34"/>
      <c r="E62" s="52"/>
      <c r="F62" s="34">
        <v>90.0</v>
      </c>
      <c r="G62" s="52"/>
      <c r="H62" s="34">
        <v>100.0</v>
      </c>
      <c r="I62" s="56">
        <f t="shared" si="6"/>
        <v>7293.5</v>
      </c>
      <c r="J62" s="57">
        <f t="shared" si="7"/>
        <v>8050</v>
      </c>
      <c r="L62" s="58">
        <f>H62*L50</f>
        <v>1016</v>
      </c>
      <c r="M62" s="59">
        <f t="shared" si="8"/>
        <v>81788</v>
      </c>
      <c r="N62" s="22">
        <f>L60+L61+L62</f>
        <v>7416.8</v>
      </c>
    </row>
    <row r="63" ht="14.25" customHeight="1">
      <c r="B63" s="35"/>
      <c r="D63" s="36">
        <f>SUM(D51:D62)</f>
        <v>0</v>
      </c>
      <c r="F63" s="36">
        <f>SUM(F51:F62)</f>
        <v>7293.5</v>
      </c>
      <c r="H63" s="36">
        <f>SUM(H51:H62)</f>
        <v>8050</v>
      </c>
      <c r="L63" s="62">
        <f>SUM(L51:L62)</f>
        <v>81788</v>
      </c>
    </row>
    <row r="64" ht="14.25" customHeight="1">
      <c r="F64" s="63">
        <f>F63/F50</f>
        <v>1500.720165</v>
      </c>
      <c r="H64" s="63">
        <f>H63/H50</f>
        <v>1636.178862</v>
      </c>
      <c r="I64" s="5" t="s">
        <v>52</v>
      </c>
    </row>
    <row r="65" ht="14.25" customHeight="1">
      <c r="H65" s="64">
        <v>0.09</v>
      </c>
    </row>
    <row r="66" ht="14.25" customHeight="1">
      <c r="A66" s="8" t="s">
        <v>10</v>
      </c>
      <c r="B66" s="9"/>
      <c r="C66" s="9"/>
      <c r="D66" s="9"/>
      <c r="E66" s="9"/>
      <c r="F66" s="9"/>
      <c r="G66" s="10"/>
      <c r="H66" s="8" t="s">
        <v>54</v>
      </c>
      <c r="I66" s="9"/>
      <c r="J66" s="9"/>
      <c r="K66" s="9"/>
      <c r="L66" s="9"/>
      <c r="M66" s="9"/>
      <c r="N66" s="10"/>
    </row>
    <row r="67" ht="14.25" customHeight="1">
      <c r="B67" s="11" t="s">
        <v>12</v>
      </c>
      <c r="D67" s="42" t="s">
        <v>13</v>
      </c>
      <c r="F67" s="42" t="s">
        <v>14</v>
      </c>
      <c r="H67" s="42" t="s">
        <v>14</v>
      </c>
      <c r="I67" s="43"/>
      <c r="L67" s="44" t="s">
        <v>45</v>
      </c>
      <c r="M67" s="45"/>
      <c r="N67" s="45"/>
    </row>
    <row r="68" ht="14.25" customHeight="1">
      <c r="B68" s="11"/>
      <c r="D68" s="42" t="s">
        <v>15</v>
      </c>
      <c r="F68" s="42" t="s">
        <v>46</v>
      </c>
      <c r="H68" s="42" t="s">
        <v>46</v>
      </c>
      <c r="I68" s="43"/>
      <c r="L68" s="11" t="s">
        <v>47</v>
      </c>
    </row>
    <row r="69" ht="14.25" customHeight="1">
      <c r="B69" s="11"/>
      <c r="D69" s="42" t="s">
        <v>17</v>
      </c>
      <c r="F69" s="42" t="s">
        <v>17</v>
      </c>
      <c r="H69" s="42" t="s">
        <v>18</v>
      </c>
      <c r="I69" s="7" t="s">
        <v>48</v>
      </c>
      <c r="J69" s="7" t="s">
        <v>18</v>
      </c>
      <c r="Q69" s="43"/>
    </row>
    <row r="70" ht="14.25" customHeight="1">
      <c r="B70" s="11"/>
      <c r="D70" s="46" t="s">
        <v>49</v>
      </c>
      <c r="E70" s="47"/>
      <c r="F70" s="46" t="s">
        <v>50</v>
      </c>
      <c r="G70" s="47"/>
      <c r="H70" s="46" t="s">
        <v>51</v>
      </c>
      <c r="I70" s="7" t="s">
        <v>20</v>
      </c>
      <c r="J70" s="7" t="s">
        <v>20</v>
      </c>
      <c r="L70" s="12" t="s">
        <v>19</v>
      </c>
      <c r="M70" s="7" t="s">
        <v>20</v>
      </c>
      <c r="N70" s="7" t="s">
        <v>21</v>
      </c>
    </row>
    <row r="71" ht="14.25" customHeight="1">
      <c r="D71" s="48"/>
      <c r="F71" s="49">
        <v>4.86</v>
      </c>
      <c r="H71" s="49">
        <v>4.92</v>
      </c>
      <c r="I71" s="43"/>
      <c r="L71" s="50">
        <v>10.16</v>
      </c>
      <c r="M71" s="25"/>
      <c r="N71" s="25"/>
    </row>
    <row r="72" ht="14.25" customHeight="1">
      <c r="B72" s="51" t="s">
        <v>22</v>
      </c>
      <c r="C72" s="52"/>
      <c r="D72" s="31"/>
      <c r="E72" s="52"/>
      <c r="F72" s="31">
        <v>139.0</v>
      </c>
      <c r="G72" s="52"/>
      <c r="H72" s="31">
        <v>148.0</v>
      </c>
      <c r="I72" s="53"/>
      <c r="L72" s="19">
        <f>H72*L71</f>
        <v>1503.68</v>
      </c>
      <c r="M72" s="66"/>
    </row>
    <row r="73" ht="14.25" customHeight="1">
      <c r="B73" s="13" t="s">
        <v>23</v>
      </c>
      <c r="D73" s="54"/>
      <c r="F73" s="54">
        <v>328.0</v>
      </c>
      <c r="H73" s="54">
        <v>351.0</v>
      </c>
      <c r="I73" s="67">
        <f>F72+F73</f>
        <v>467</v>
      </c>
      <c r="J73" s="35">
        <f>H72+H73</f>
        <v>499</v>
      </c>
      <c r="L73" s="19">
        <f>H73*L71</f>
        <v>3566.16</v>
      </c>
      <c r="M73" s="20">
        <f>L72+L73</f>
        <v>5069.84</v>
      </c>
      <c r="N73" s="7" t="s">
        <v>25</v>
      </c>
    </row>
    <row r="74" ht="14.25" customHeight="1">
      <c r="B74" s="51" t="s">
        <v>24</v>
      </c>
      <c r="C74" s="52"/>
      <c r="D74" s="31"/>
      <c r="E74" s="52"/>
      <c r="F74" s="31">
        <v>756.0</v>
      </c>
      <c r="G74" s="52"/>
      <c r="H74" s="31">
        <v>816.0</v>
      </c>
      <c r="I74" s="56">
        <f t="shared" ref="I74:I83" si="9">I73+F74</f>
        <v>1223</v>
      </c>
      <c r="J74" s="57">
        <f t="shared" ref="J74:J83" si="10">J73+H74</f>
        <v>1315</v>
      </c>
      <c r="L74" s="58">
        <f>H74*L71</f>
        <v>8290.56</v>
      </c>
      <c r="M74" s="59">
        <f t="shared" ref="M74:M83" si="11">M73+L74</f>
        <v>13360.4</v>
      </c>
      <c r="N74" s="22">
        <f>L72+L73+L74</f>
        <v>13360.4</v>
      </c>
      <c r="O74" s="60"/>
    </row>
    <row r="75" ht="14.25" customHeight="1">
      <c r="B75" s="13" t="s">
        <v>26</v>
      </c>
      <c r="D75" s="54"/>
      <c r="F75" s="68">
        <v>624.0</v>
      </c>
      <c r="H75" s="68">
        <v>680.0</v>
      </c>
      <c r="I75" s="55">
        <f t="shared" si="9"/>
        <v>1847</v>
      </c>
      <c r="J75" s="35">
        <f t="shared" si="10"/>
        <v>1995</v>
      </c>
      <c r="K75" s="69" t="s">
        <v>55</v>
      </c>
      <c r="L75" s="19">
        <f>H75*L71</f>
        <v>6908.8</v>
      </c>
      <c r="M75" s="20">
        <f t="shared" si="11"/>
        <v>20269.2</v>
      </c>
    </row>
    <row r="76" ht="14.25" customHeight="1">
      <c r="A76" s="60"/>
      <c r="B76" s="51" t="s">
        <v>28</v>
      </c>
      <c r="C76" s="52"/>
      <c r="D76" s="31"/>
      <c r="E76" s="52"/>
      <c r="F76" s="31"/>
      <c r="G76" s="52"/>
      <c r="H76" s="31"/>
      <c r="I76" s="55">
        <f t="shared" si="9"/>
        <v>1847</v>
      </c>
      <c r="J76" s="35">
        <f t="shared" si="10"/>
        <v>1995</v>
      </c>
      <c r="L76" s="19">
        <f>H76*L71</f>
        <v>0</v>
      </c>
      <c r="M76" s="20">
        <f t="shared" si="11"/>
        <v>20269.2</v>
      </c>
      <c r="N76" s="7" t="s">
        <v>30</v>
      </c>
    </row>
    <row r="77" ht="14.25" customHeight="1">
      <c r="B77" s="13" t="s">
        <v>31</v>
      </c>
      <c r="C77" s="43"/>
      <c r="D77" s="54"/>
      <c r="E77" s="43"/>
      <c r="F77" s="54"/>
      <c r="G77" s="43"/>
      <c r="H77" s="54"/>
      <c r="I77" s="56">
        <f t="shared" si="9"/>
        <v>1847</v>
      </c>
      <c r="J77" s="57">
        <f t="shared" si="10"/>
        <v>1995</v>
      </c>
      <c r="L77" s="58">
        <f>H77*L71</f>
        <v>0</v>
      </c>
      <c r="M77" s="61">
        <f t="shared" si="11"/>
        <v>20269.2</v>
      </c>
      <c r="N77" s="22">
        <f>L75+L76+L77</f>
        <v>6908.8</v>
      </c>
    </row>
    <row r="78" ht="14.25" customHeight="1">
      <c r="B78" s="51" t="s">
        <v>32</v>
      </c>
      <c r="C78" s="52"/>
      <c r="D78" s="31"/>
      <c r="E78" s="52"/>
      <c r="F78" s="31"/>
      <c r="G78" s="52"/>
      <c r="H78" s="31"/>
      <c r="I78" s="55">
        <f t="shared" si="9"/>
        <v>1847</v>
      </c>
      <c r="J78" s="35">
        <f t="shared" si="10"/>
        <v>1995</v>
      </c>
      <c r="L78" s="19">
        <f>H78*L71</f>
        <v>0</v>
      </c>
      <c r="M78" s="20">
        <f t="shared" si="11"/>
        <v>20269.2</v>
      </c>
    </row>
    <row r="79" ht="14.25" customHeight="1">
      <c r="B79" s="13" t="s">
        <v>33</v>
      </c>
      <c r="D79" s="54"/>
      <c r="F79" s="54"/>
      <c r="H79" s="54"/>
      <c r="I79" s="55">
        <f t="shared" si="9"/>
        <v>1847</v>
      </c>
      <c r="J79" s="35">
        <f t="shared" si="10"/>
        <v>1995</v>
      </c>
      <c r="L79" s="19">
        <f>H79*L71</f>
        <v>0</v>
      </c>
      <c r="M79" s="20">
        <f t="shared" si="11"/>
        <v>20269.2</v>
      </c>
      <c r="N79" s="7" t="s">
        <v>34</v>
      </c>
    </row>
    <row r="80" ht="14.25" customHeight="1">
      <c r="B80" s="51" t="s">
        <v>35</v>
      </c>
      <c r="C80" s="52"/>
      <c r="D80" s="31"/>
      <c r="E80" s="52"/>
      <c r="F80" s="31"/>
      <c r="G80" s="52"/>
      <c r="H80" s="31"/>
      <c r="I80" s="56">
        <f t="shared" si="9"/>
        <v>1847</v>
      </c>
      <c r="J80" s="57">
        <f t="shared" si="10"/>
        <v>1995</v>
      </c>
      <c r="L80" s="58">
        <f>H80*L71</f>
        <v>0</v>
      </c>
      <c r="M80" s="61">
        <f t="shared" si="11"/>
        <v>20269.2</v>
      </c>
      <c r="N80" s="22">
        <f>L78+L79+L80</f>
        <v>0</v>
      </c>
    </row>
    <row r="81" ht="14.25" customHeight="1">
      <c r="B81" s="13" t="s">
        <v>36</v>
      </c>
      <c r="D81" s="54"/>
      <c r="F81" s="54"/>
      <c r="H81" s="54"/>
      <c r="I81" s="55">
        <f t="shared" si="9"/>
        <v>1847</v>
      </c>
      <c r="J81" s="35">
        <f t="shared" si="10"/>
        <v>1995</v>
      </c>
      <c r="L81" s="19">
        <f>H81*L71</f>
        <v>0</v>
      </c>
      <c r="M81" s="20">
        <f t="shared" si="11"/>
        <v>20269.2</v>
      </c>
    </row>
    <row r="82" ht="14.25" customHeight="1">
      <c r="B82" s="51" t="s">
        <v>37</v>
      </c>
      <c r="C82" s="52"/>
      <c r="D82" s="31"/>
      <c r="E82" s="52"/>
      <c r="F82" s="31"/>
      <c r="G82" s="52"/>
      <c r="H82" s="31"/>
      <c r="I82" s="55">
        <f t="shared" si="9"/>
        <v>1847</v>
      </c>
      <c r="J82" s="35">
        <f t="shared" si="10"/>
        <v>1995</v>
      </c>
      <c r="L82" s="19">
        <f>H82*L71</f>
        <v>0</v>
      </c>
      <c r="M82" s="20">
        <f t="shared" si="11"/>
        <v>20269.2</v>
      </c>
      <c r="N82" s="7" t="s">
        <v>38</v>
      </c>
    </row>
    <row r="83" ht="14.25" customHeight="1">
      <c r="B83" s="51" t="s">
        <v>39</v>
      </c>
      <c r="C83" s="52"/>
      <c r="D83" s="34"/>
      <c r="E83" s="52"/>
      <c r="F83" s="34"/>
      <c r="G83" s="52"/>
      <c r="H83" s="34"/>
      <c r="I83" s="56">
        <f t="shared" si="9"/>
        <v>1847</v>
      </c>
      <c r="J83" s="57">
        <f t="shared" si="10"/>
        <v>1995</v>
      </c>
      <c r="L83" s="58">
        <f>H83*L71</f>
        <v>0</v>
      </c>
      <c r="M83" s="61">
        <f t="shared" si="11"/>
        <v>20269.2</v>
      </c>
      <c r="N83" s="22">
        <f>L81+L82+L83</f>
        <v>0</v>
      </c>
    </row>
    <row r="84" ht="14.25" customHeight="1">
      <c r="B84" s="35"/>
      <c r="D84" s="36">
        <f>SUM(D72:D83)</f>
        <v>0</v>
      </c>
      <c r="F84" s="36">
        <f>SUM(F72:F83)</f>
        <v>1847</v>
      </c>
      <c r="H84" s="36">
        <f>SUM(H72:H83)</f>
        <v>1995</v>
      </c>
      <c r="L84" s="62">
        <f>SUM(L72:L83)</f>
        <v>20269.2</v>
      </c>
    </row>
    <row r="85" ht="14.25" customHeight="1">
      <c r="F85" s="63">
        <f>F84/F71</f>
        <v>380.0411523</v>
      </c>
      <c r="H85" s="63">
        <f>H84/H71</f>
        <v>405.4878049</v>
      </c>
      <c r="I85" s="5" t="s">
        <v>52</v>
      </c>
    </row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:G1"/>
    <mergeCell ref="H1:N1"/>
    <mergeCell ref="A24:G24"/>
    <mergeCell ref="H24:N24"/>
    <mergeCell ref="L25:N25"/>
    <mergeCell ref="L26:N26"/>
    <mergeCell ref="I43:K43"/>
    <mergeCell ref="L67:N67"/>
    <mergeCell ref="L68:N68"/>
    <mergeCell ref="I85:K85"/>
    <mergeCell ref="A45:G45"/>
    <mergeCell ref="H45:N45"/>
    <mergeCell ref="L46:N46"/>
    <mergeCell ref="L47:N47"/>
    <mergeCell ref="I64:K64"/>
    <mergeCell ref="A66:G66"/>
    <mergeCell ref="H66:N66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1.0"/>
    <col customWidth="1" min="3" max="3" width="13.57"/>
    <col customWidth="1" min="4" max="4" width="10.57"/>
    <col customWidth="1" min="5" max="5" width="13.57"/>
    <col customWidth="1" min="6" max="6" width="11.43"/>
    <col customWidth="1" min="7" max="7" width="13.71"/>
    <col customWidth="1" min="8" max="8" width="4.14"/>
    <col customWidth="1" min="9" max="26" width="8.71"/>
  </cols>
  <sheetData>
    <row r="1" ht="18.0" customHeight="1">
      <c r="A1" s="70"/>
      <c r="B1" s="71"/>
      <c r="C1" s="72" t="s">
        <v>56</v>
      </c>
      <c r="D1" s="9"/>
      <c r="E1" s="9"/>
      <c r="F1" s="9"/>
      <c r="G1" s="9"/>
      <c r="H1" s="10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ht="12.75" customHeight="1">
      <c r="A2" s="74"/>
      <c r="B2" s="74"/>
      <c r="C2" s="75" t="s">
        <v>57</v>
      </c>
      <c r="D2" s="76"/>
      <c r="E2" s="75" t="s">
        <v>57</v>
      </c>
      <c r="F2" s="76" t="s">
        <v>58</v>
      </c>
      <c r="G2" s="76" t="s">
        <v>58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ht="12.75" customHeight="1">
      <c r="A3" s="73"/>
      <c r="B3" s="73"/>
      <c r="C3" s="75" t="s">
        <v>59</v>
      </c>
      <c r="D3" s="76" t="s">
        <v>60</v>
      </c>
      <c r="E3" s="75" t="s">
        <v>61</v>
      </c>
      <c r="F3" s="76" t="s">
        <v>62</v>
      </c>
      <c r="G3" s="77" t="s">
        <v>63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2.75" customHeight="1">
      <c r="A4" s="73"/>
      <c r="B4" s="73"/>
      <c r="C4" s="78">
        <v>10.42</v>
      </c>
      <c r="D4" s="73"/>
      <c r="E4" s="78">
        <v>10.42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2.75" customHeight="1">
      <c r="A5" s="79"/>
      <c r="B5" s="80">
        <v>0.27</v>
      </c>
      <c r="C5" s="81">
        <f>A5*C4</f>
        <v>0</v>
      </c>
      <c r="D5" s="82">
        <v>4.3</v>
      </c>
      <c r="E5" s="83">
        <f>B5*E4</f>
        <v>2.8134</v>
      </c>
      <c r="F5" s="84">
        <f t="shared" ref="F5:F38" si="1">E5-C5</f>
        <v>2.8134</v>
      </c>
      <c r="G5" s="85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ht="12.75" customHeight="1">
      <c r="A6" s="79">
        <v>0.1</v>
      </c>
      <c r="B6" s="80">
        <v>1.2</v>
      </c>
      <c r="C6" s="86">
        <f>A6*C4</f>
        <v>1.042</v>
      </c>
      <c r="D6" s="82">
        <v>5.0</v>
      </c>
      <c r="E6" s="83">
        <f>B6*E4</f>
        <v>12.504</v>
      </c>
      <c r="F6" s="84">
        <f t="shared" si="1"/>
        <v>11.462</v>
      </c>
      <c r="G6" s="87" t="s">
        <v>64</v>
      </c>
      <c r="H6" s="88" t="s">
        <v>63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ht="12.75" customHeight="1">
      <c r="A7" s="79">
        <v>0.17</v>
      </c>
      <c r="B7" s="80">
        <v>2.12</v>
      </c>
      <c r="C7" s="86">
        <f>A7*C4</f>
        <v>1.7714</v>
      </c>
      <c r="D7" s="82">
        <v>5.3</v>
      </c>
      <c r="E7" s="83">
        <f>B7*E4</f>
        <v>22.0904</v>
      </c>
      <c r="F7" s="89">
        <f t="shared" si="1"/>
        <v>20.319</v>
      </c>
      <c r="G7" s="90" t="s">
        <v>65</v>
      </c>
      <c r="H7" s="88" t="s">
        <v>63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ht="12.75" customHeight="1">
      <c r="A8" s="79">
        <v>0.24</v>
      </c>
      <c r="B8" s="80">
        <v>2.83</v>
      </c>
      <c r="C8" s="86">
        <f>A8*C4</f>
        <v>2.5008</v>
      </c>
      <c r="D8" s="82">
        <v>6.0</v>
      </c>
      <c r="E8" s="83">
        <f>B8*E4</f>
        <v>29.4886</v>
      </c>
      <c r="F8" s="84">
        <f t="shared" si="1"/>
        <v>26.9878</v>
      </c>
      <c r="G8" s="87" t="s">
        <v>66</v>
      </c>
      <c r="H8" s="88" t="s">
        <v>63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ht="12.75" customHeight="1">
      <c r="A9" s="79">
        <v>0.5</v>
      </c>
      <c r="B9" s="80">
        <v>3.39</v>
      </c>
      <c r="C9" s="86">
        <f>A9*C4</f>
        <v>5.21</v>
      </c>
      <c r="D9" s="82">
        <v>6.3</v>
      </c>
      <c r="E9" s="83">
        <f>B9*E4</f>
        <v>35.3238</v>
      </c>
      <c r="F9" s="89">
        <f t="shared" si="1"/>
        <v>30.1138</v>
      </c>
      <c r="G9" s="90">
        <v>578.0</v>
      </c>
      <c r="H9" s="88" t="s">
        <v>63</v>
      </c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12.75" customHeight="1">
      <c r="A10" s="79">
        <v>0.92</v>
      </c>
      <c r="B10" s="80">
        <v>3.8</v>
      </c>
      <c r="C10" s="86">
        <f>A10*C4</f>
        <v>9.5864</v>
      </c>
      <c r="D10" s="82">
        <v>7.0</v>
      </c>
      <c r="E10" s="83">
        <f>B10*E4</f>
        <v>39.596</v>
      </c>
      <c r="F10" s="84">
        <f t="shared" si="1"/>
        <v>30.0096</v>
      </c>
      <c r="G10" s="87">
        <v>313.0</v>
      </c>
      <c r="H10" s="88" t="s">
        <v>63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ht="12.75" customHeight="1">
      <c r="A11" s="79">
        <v>1.42</v>
      </c>
      <c r="B11" s="80">
        <v>4.09</v>
      </c>
      <c r="C11" s="86">
        <f>A11*C4</f>
        <v>14.7964</v>
      </c>
      <c r="D11" s="82">
        <v>7.3</v>
      </c>
      <c r="E11" s="83">
        <f>B11*E4</f>
        <v>42.6178</v>
      </c>
      <c r="F11" s="89">
        <f t="shared" si="1"/>
        <v>27.8214</v>
      </c>
      <c r="G11" s="90">
        <v>188.0</v>
      </c>
      <c r="H11" s="88" t="s">
        <v>63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ht="12.75" customHeight="1">
      <c r="A12" s="79">
        <v>1.92</v>
      </c>
      <c r="B12" s="80">
        <v>4.24</v>
      </c>
      <c r="C12" s="86">
        <f>A12*C4</f>
        <v>20.0064</v>
      </c>
      <c r="D12" s="82">
        <v>8.0</v>
      </c>
      <c r="E12" s="83">
        <f>B12*E4</f>
        <v>44.1808</v>
      </c>
      <c r="F12" s="84">
        <f t="shared" si="1"/>
        <v>24.1744</v>
      </c>
      <c r="G12" s="87">
        <v>121.0</v>
      </c>
      <c r="H12" s="88" t="s">
        <v>63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ht="12.75" customHeight="1">
      <c r="A13" s="79">
        <v>2.42</v>
      </c>
      <c r="B13" s="80">
        <v>4.36</v>
      </c>
      <c r="C13" s="86">
        <f>A13*C4</f>
        <v>25.2164</v>
      </c>
      <c r="D13" s="82">
        <v>8.3</v>
      </c>
      <c r="E13" s="83">
        <f>B13*E4</f>
        <v>45.4312</v>
      </c>
      <c r="F13" s="89">
        <f t="shared" si="1"/>
        <v>20.2148</v>
      </c>
      <c r="G13" s="90">
        <v>81.0</v>
      </c>
      <c r="H13" s="88" t="s">
        <v>63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ht="12.75" customHeight="1">
      <c r="A14" s="79">
        <v>2.84</v>
      </c>
      <c r="B14" s="80">
        <v>4.41</v>
      </c>
      <c r="C14" s="86">
        <f>A14*C4</f>
        <v>29.5928</v>
      </c>
      <c r="D14" s="82">
        <v>9.0</v>
      </c>
      <c r="E14" s="83">
        <f>B14*E4</f>
        <v>45.9522</v>
      </c>
      <c r="F14" s="84">
        <f t="shared" si="1"/>
        <v>16.3594</v>
      </c>
      <c r="G14" s="87">
        <v>55.0</v>
      </c>
      <c r="H14" s="88" t="s">
        <v>63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ht="12.75" customHeight="1">
      <c r="A15" s="79">
        <v>3.12</v>
      </c>
      <c r="B15" s="80">
        <v>4.39</v>
      </c>
      <c r="C15" s="86">
        <f>A15*C4</f>
        <v>32.5104</v>
      </c>
      <c r="D15" s="82">
        <v>9.3</v>
      </c>
      <c r="E15" s="83">
        <f>B15*E4</f>
        <v>45.7438</v>
      </c>
      <c r="F15" s="89">
        <f t="shared" si="1"/>
        <v>13.2334</v>
      </c>
      <c r="G15" s="90">
        <v>40.0</v>
      </c>
      <c r="H15" s="88" t="s">
        <v>63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ht="12.75" customHeight="1">
      <c r="A16" s="79">
        <v>3.35</v>
      </c>
      <c r="B16" s="80">
        <v>4.37</v>
      </c>
      <c r="C16" s="91">
        <f>A16*C4</f>
        <v>34.907</v>
      </c>
      <c r="D16" s="92">
        <v>10.0</v>
      </c>
      <c r="E16" s="93">
        <f>B16*E4</f>
        <v>45.5354</v>
      </c>
      <c r="F16" s="94">
        <f t="shared" si="1"/>
        <v>10.6284</v>
      </c>
      <c r="G16" s="95">
        <v>30.0</v>
      </c>
      <c r="H16" s="88" t="s">
        <v>63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2.75" customHeight="1">
      <c r="A17" s="79">
        <v>3.64</v>
      </c>
      <c r="B17" s="80">
        <v>4.34</v>
      </c>
      <c r="C17" s="96">
        <f>A17*C4</f>
        <v>37.9288</v>
      </c>
      <c r="D17" s="97">
        <v>10.3</v>
      </c>
      <c r="E17" s="98">
        <f>B17*E4</f>
        <v>45.2228</v>
      </c>
      <c r="F17" s="89">
        <f t="shared" si="1"/>
        <v>7.294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ht="12.75" customHeight="1">
      <c r="A18" s="79">
        <v>3.96</v>
      </c>
      <c r="B18" s="80">
        <v>4.33</v>
      </c>
      <c r="C18" s="86">
        <f>A18*C4</f>
        <v>41.2632</v>
      </c>
      <c r="D18" s="82">
        <v>11.0</v>
      </c>
      <c r="E18" s="83">
        <f>B18*E4</f>
        <v>45.1186</v>
      </c>
      <c r="F18" s="84">
        <f t="shared" si="1"/>
        <v>3.8554</v>
      </c>
      <c r="G18" s="99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ht="12.75" customHeight="1">
      <c r="A19" s="79">
        <v>4.22</v>
      </c>
      <c r="B19" s="80">
        <v>4.39</v>
      </c>
      <c r="C19" s="86">
        <f>A19*C4</f>
        <v>43.9724</v>
      </c>
      <c r="D19" s="82">
        <v>11.3</v>
      </c>
      <c r="E19" s="83">
        <f>B19*E4</f>
        <v>45.7438</v>
      </c>
      <c r="F19" s="89">
        <f t="shared" si="1"/>
        <v>1.7714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ht="12.75" customHeight="1">
      <c r="A20" s="79">
        <v>4.1</v>
      </c>
      <c r="B20" s="80">
        <v>4.15</v>
      </c>
      <c r="C20" s="86">
        <f>A20*C4</f>
        <v>42.722</v>
      </c>
      <c r="D20" s="82">
        <v>12.0</v>
      </c>
      <c r="E20" s="83">
        <f>B20*E4</f>
        <v>43.243</v>
      </c>
      <c r="F20" s="84">
        <f t="shared" si="1"/>
        <v>0.521</v>
      </c>
      <c r="G20" s="99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2.75" customHeight="1">
      <c r="A21" s="79">
        <v>4.07</v>
      </c>
      <c r="B21" s="80">
        <v>4.09</v>
      </c>
      <c r="C21" s="86">
        <f>A21*C4</f>
        <v>42.4094</v>
      </c>
      <c r="D21" s="82">
        <v>12.3</v>
      </c>
      <c r="E21" s="83">
        <f>B21*E4</f>
        <v>42.6178</v>
      </c>
      <c r="F21" s="89">
        <f t="shared" si="1"/>
        <v>0.2084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2.75" customHeight="1">
      <c r="A22" s="79">
        <v>4.09</v>
      </c>
      <c r="B22" s="80">
        <v>4.1</v>
      </c>
      <c r="C22" s="86">
        <f>A22*C4</f>
        <v>42.6178</v>
      </c>
      <c r="D22" s="82">
        <v>13.0</v>
      </c>
      <c r="E22" s="83">
        <f>B22*E4</f>
        <v>42.722</v>
      </c>
      <c r="F22" s="84">
        <f t="shared" si="1"/>
        <v>0.1042</v>
      </c>
      <c r="G22" s="99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2.75" customHeight="1">
      <c r="A23" s="79">
        <v>3.98</v>
      </c>
      <c r="B23" s="80">
        <v>4.12</v>
      </c>
      <c r="C23" s="86">
        <f>A23*C4</f>
        <v>41.4716</v>
      </c>
      <c r="D23" s="82">
        <v>13.3</v>
      </c>
      <c r="E23" s="83">
        <f>B23*E4</f>
        <v>42.9304</v>
      </c>
      <c r="F23" s="84">
        <f t="shared" si="1"/>
        <v>1.4588</v>
      </c>
      <c r="G23" s="99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2.75" customHeight="1">
      <c r="A24" s="79">
        <v>3.85</v>
      </c>
      <c r="B24" s="80">
        <v>4.18</v>
      </c>
      <c r="C24" s="86">
        <f>A24*C4</f>
        <v>40.117</v>
      </c>
      <c r="D24" s="82">
        <v>14.0</v>
      </c>
      <c r="E24" s="83">
        <f>B24*E4</f>
        <v>43.5556</v>
      </c>
      <c r="F24" s="100">
        <f t="shared" si="1"/>
        <v>3.4386</v>
      </c>
      <c r="G24" s="10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2.75" customHeight="1">
      <c r="A25" s="79">
        <v>3.3</v>
      </c>
      <c r="B25" s="80">
        <v>4.25</v>
      </c>
      <c r="C25" s="91">
        <f>A25*C4</f>
        <v>34.386</v>
      </c>
      <c r="D25" s="92">
        <v>14.3</v>
      </c>
      <c r="E25" s="93">
        <f>B25*E4</f>
        <v>44.285</v>
      </c>
      <c r="F25" s="102">
        <f t="shared" si="1"/>
        <v>9.899</v>
      </c>
      <c r="G25" s="103">
        <v>29.0</v>
      </c>
      <c r="H25" s="88" t="s">
        <v>63</v>
      </c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2.75" customHeight="1">
      <c r="A26" s="79">
        <v>3.02</v>
      </c>
      <c r="B26" s="80">
        <v>4.38</v>
      </c>
      <c r="C26" s="86">
        <f>A26*C4</f>
        <v>31.4684</v>
      </c>
      <c r="D26" s="82">
        <v>15.0</v>
      </c>
      <c r="E26" s="83">
        <f>B26*E4</f>
        <v>45.6396</v>
      </c>
      <c r="F26" s="84">
        <f t="shared" si="1"/>
        <v>14.1712</v>
      </c>
      <c r="G26" s="104">
        <v>45.0</v>
      </c>
      <c r="H26" s="88" t="s">
        <v>63</v>
      </c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2.75" customHeight="1">
      <c r="A27" s="79">
        <v>2.89</v>
      </c>
      <c r="B27" s="80">
        <v>4.42</v>
      </c>
      <c r="C27" s="86">
        <f>A27*C4</f>
        <v>30.1138</v>
      </c>
      <c r="D27" s="82">
        <v>15.3</v>
      </c>
      <c r="E27" s="83">
        <f>B27*E4</f>
        <v>46.0564</v>
      </c>
      <c r="F27" s="89">
        <f t="shared" si="1"/>
        <v>15.9426</v>
      </c>
      <c r="G27" s="105">
        <v>53.0</v>
      </c>
      <c r="H27" s="88" t="s">
        <v>63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2.75" customHeight="1">
      <c r="A28" s="79">
        <v>2.55</v>
      </c>
      <c r="B28" s="80">
        <v>4.43</v>
      </c>
      <c r="C28" s="86">
        <f>A28*C4</f>
        <v>26.571</v>
      </c>
      <c r="D28" s="82">
        <v>16.0</v>
      </c>
      <c r="E28" s="83">
        <f>B28*E4</f>
        <v>46.1606</v>
      </c>
      <c r="F28" s="84">
        <f t="shared" si="1"/>
        <v>19.5896</v>
      </c>
      <c r="G28" s="104">
        <v>74.0</v>
      </c>
      <c r="H28" s="88" t="s">
        <v>63</v>
      </c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2.75" customHeight="1">
      <c r="A29" s="79">
        <v>2.03</v>
      </c>
      <c r="B29" s="80">
        <v>4.42</v>
      </c>
      <c r="C29" s="86">
        <f>A29*C4</f>
        <v>21.1526</v>
      </c>
      <c r="D29" s="82">
        <v>16.3</v>
      </c>
      <c r="E29" s="83">
        <f>B29*E4</f>
        <v>46.0564</v>
      </c>
      <c r="F29" s="89">
        <f t="shared" si="1"/>
        <v>24.9038</v>
      </c>
      <c r="G29" s="105">
        <v>118.0</v>
      </c>
      <c r="H29" s="88" t="s">
        <v>63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2.75" customHeight="1">
      <c r="A30" s="79">
        <v>1.53</v>
      </c>
      <c r="B30" s="80">
        <v>4.35</v>
      </c>
      <c r="C30" s="86">
        <f>A30*C4</f>
        <v>15.9426</v>
      </c>
      <c r="D30" s="82">
        <v>17.0</v>
      </c>
      <c r="E30" s="83">
        <f>B30*E4</f>
        <v>45.327</v>
      </c>
      <c r="F30" s="84">
        <f t="shared" si="1"/>
        <v>29.3844</v>
      </c>
      <c r="G30" s="104">
        <v>185.0</v>
      </c>
      <c r="H30" s="88" t="s">
        <v>63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2.75" customHeight="1">
      <c r="A31" s="79">
        <v>1.01</v>
      </c>
      <c r="B31" s="80">
        <v>4.23</v>
      </c>
      <c r="C31" s="86">
        <f>A31*C4</f>
        <v>10.5242</v>
      </c>
      <c r="D31" s="82">
        <v>17.3</v>
      </c>
      <c r="E31" s="83">
        <f>B31*E4</f>
        <v>44.0766</v>
      </c>
      <c r="F31" s="89">
        <f t="shared" si="1"/>
        <v>33.5524</v>
      </c>
      <c r="G31" s="105">
        <v>319.0</v>
      </c>
      <c r="H31" s="88" t="s">
        <v>63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2.75" customHeight="1">
      <c r="A32" s="79">
        <v>0.55</v>
      </c>
      <c r="B32" s="80">
        <v>3.99</v>
      </c>
      <c r="C32" s="86">
        <f>A32*C4</f>
        <v>5.731</v>
      </c>
      <c r="D32" s="82">
        <v>18.0</v>
      </c>
      <c r="E32" s="83">
        <f>B32*E4</f>
        <v>41.5758</v>
      </c>
      <c r="F32" s="84">
        <f t="shared" si="1"/>
        <v>35.8448</v>
      </c>
      <c r="G32" s="104">
        <v>625.0</v>
      </c>
      <c r="H32" s="88" t="s">
        <v>63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2.75" customHeight="1">
      <c r="A33" s="79">
        <v>0.29</v>
      </c>
      <c r="B33" s="80">
        <v>3.65</v>
      </c>
      <c r="C33" s="86">
        <f>A33*C4</f>
        <v>3.0218</v>
      </c>
      <c r="D33" s="82">
        <v>18.3</v>
      </c>
      <c r="E33" s="83">
        <f>B33*E4</f>
        <v>38.033</v>
      </c>
      <c r="F33" s="89">
        <f t="shared" si="1"/>
        <v>35.0112</v>
      </c>
      <c r="G33" s="90" t="s">
        <v>67</v>
      </c>
      <c r="H33" s="88" t="s">
        <v>63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2.75" customHeight="1">
      <c r="A34" s="79">
        <v>0.21</v>
      </c>
      <c r="B34" s="80">
        <v>3.27</v>
      </c>
      <c r="C34" s="86">
        <f>A34*C4</f>
        <v>2.1882</v>
      </c>
      <c r="D34" s="82">
        <v>19.0</v>
      </c>
      <c r="E34" s="83">
        <f>B34*E4</f>
        <v>34.0734</v>
      </c>
      <c r="F34" s="84">
        <f t="shared" si="1"/>
        <v>31.8852</v>
      </c>
      <c r="G34" s="87" t="s">
        <v>68</v>
      </c>
      <c r="H34" s="88" t="s">
        <v>63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2.75" customHeight="1">
      <c r="A35" s="79">
        <v>0.15</v>
      </c>
      <c r="B35" s="80">
        <v>2.45</v>
      </c>
      <c r="C35" s="86">
        <f>A35*C4</f>
        <v>1.563</v>
      </c>
      <c r="D35" s="82">
        <v>19.3</v>
      </c>
      <c r="E35" s="83">
        <f>B35*E4</f>
        <v>25.529</v>
      </c>
      <c r="F35" s="89">
        <f t="shared" si="1"/>
        <v>23.966</v>
      </c>
      <c r="G35" s="90" t="s">
        <v>69</v>
      </c>
      <c r="H35" s="88" t="s">
        <v>63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2.75" customHeight="1">
      <c r="A36" s="79">
        <v>0.1</v>
      </c>
      <c r="B36" s="80">
        <v>1.65</v>
      </c>
      <c r="C36" s="86">
        <f>A36*C4</f>
        <v>1.042</v>
      </c>
      <c r="D36" s="82">
        <v>20.0</v>
      </c>
      <c r="E36" s="83">
        <f>B36*E4</f>
        <v>17.193</v>
      </c>
      <c r="F36" s="84">
        <f t="shared" si="1"/>
        <v>16.151</v>
      </c>
      <c r="G36" s="87" t="s">
        <v>70</v>
      </c>
      <c r="H36" s="88" t="s">
        <v>63</v>
      </c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2.75" customHeight="1">
      <c r="A37" s="79">
        <v>0.05</v>
      </c>
      <c r="B37" s="80">
        <v>0.86</v>
      </c>
      <c r="C37" s="86">
        <f>A37*C4</f>
        <v>0.521</v>
      </c>
      <c r="D37" s="82">
        <v>20.3</v>
      </c>
      <c r="E37" s="83">
        <f>B37*E4</f>
        <v>8.9612</v>
      </c>
      <c r="F37" s="84">
        <f t="shared" si="1"/>
        <v>8.4402</v>
      </c>
      <c r="G37" s="87" t="s">
        <v>71</v>
      </c>
      <c r="H37" s="88" t="s">
        <v>63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2.75" customHeight="1">
      <c r="A38" s="79"/>
      <c r="B38" s="80">
        <v>0.07</v>
      </c>
      <c r="C38" s="86">
        <f>A38*C4</f>
        <v>0</v>
      </c>
      <c r="D38" s="82">
        <v>21.0</v>
      </c>
      <c r="E38" s="83">
        <f>B38*E4</f>
        <v>0.7294</v>
      </c>
      <c r="F38" s="84">
        <f t="shared" si="1"/>
        <v>0.7294</v>
      </c>
      <c r="G38" s="85"/>
      <c r="H38" s="88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2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2.7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2.7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2.7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2.7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2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2.7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2.7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2.7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2.7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2.7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2.7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2.7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2.7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2.7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2.7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2.7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2.7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2.7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2.7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2.7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2.7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2.7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2.7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2.7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2.7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2.7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2.7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2.7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2.7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2.7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2.7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2.7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2.7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2.7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2.7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2.7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2.7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2.7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2.7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2.7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2.7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2.7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2.7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2.7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2.7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2.7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2.7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2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2.7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2.7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2.7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2.7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2.7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2.7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2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2.7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2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2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2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2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2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2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2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2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2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2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2.7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2.7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2.7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2.7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2.7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2.7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2.7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2.7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2.7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2.7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2.7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2.7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2.7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2.7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2.7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2.7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2.7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2.7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2.7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2.7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2.7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2.7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2.7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2.7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2.7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2.7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2.7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2.7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2.7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2.7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2.7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2.7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2.7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2.7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2.7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2.7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2.7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2.7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2.7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2.7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2.7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2.7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2.7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2.7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2.7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2.7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2.7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2.7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2.7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2.7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2.7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2.7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2.7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2.7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2.7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2.7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2.7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2.7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2.7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2.7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2.7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2.7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2.7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2.7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2.7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2.7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2.7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2.7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2.7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2.7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2.7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2.7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2.7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2.7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2.7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2.7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2.7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2.7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2.7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2.7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2.7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2.7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2.7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2.7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2.7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2.7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2.7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2.7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2.7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2.7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2.7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2.7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2.7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2.7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2.7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2.7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2.7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2.7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2.7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2.7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2.7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2.7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2.7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2.7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2.7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2.7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2.7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2.7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2.7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2.7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2.7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2.7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2.7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2.7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2.7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2.7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2.7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2.7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2.7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2.7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2.7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2.7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2.7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2.7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2.7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ht="12.7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ht="12.7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ht="12.7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ht="12.7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ht="12.7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ht="12.7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ht="12.7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ht="12.7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9.14"/>
    <col customWidth="1" min="3" max="3" width="8.86"/>
    <col customWidth="1" min="4" max="4" width="11.86"/>
    <col customWidth="1" min="5" max="5" width="11.57"/>
    <col customWidth="1" min="6" max="6" width="10.86"/>
    <col customWidth="1" min="7" max="7" width="12.0"/>
    <col customWidth="1" min="8" max="8" width="12.57"/>
    <col customWidth="1" min="9" max="9" width="14.86"/>
    <col customWidth="1" min="10" max="10" width="14.29"/>
  </cols>
  <sheetData>
    <row r="1" ht="14.25" customHeight="1">
      <c r="A1" s="106" t="s">
        <v>72</v>
      </c>
      <c r="B1" s="9"/>
      <c r="C1" s="9"/>
      <c r="D1" s="9"/>
      <c r="E1" s="9"/>
      <c r="F1" s="9"/>
      <c r="G1" s="9"/>
      <c r="H1" s="9"/>
      <c r="I1" s="9"/>
      <c r="J1" s="10"/>
    </row>
    <row r="2" ht="14.25" customHeight="1">
      <c r="C2" s="28">
        <v>14.0</v>
      </c>
      <c r="D2" s="28">
        <v>750.0</v>
      </c>
      <c r="E2" s="88">
        <v>1000.0</v>
      </c>
      <c r="G2" s="88">
        <v>10000.0</v>
      </c>
      <c r="I2" s="88">
        <v>1000.0</v>
      </c>
    </row>
    <row r="3" ht="14.25" customHeight="1">
      <c r="A3" s="13" t="s">
        <v>73</v>
      </c>
      <c r="B3" s="7" t="s">
        <v>74</v>
      </c>
      <c r="D3" s="107" t="s">
        <v>75</v>
      </c>
      <c r="E3" s="107" t="s">
        <v>76</v>
      </c>
      <c r="F3" s="107" t="s">
        <v>77</v>
      </c>
      <c r="G3" s="107" t="s">
        <v>78</v>
      </c>
      <c r="H3" s="107" t="s">
        <v>75</v>
      </c>
      <c r="I3" s="107" t="s">
        <v>79</v>
      </c>
      <c r="J3" s="107" t="s">
        <v>80</v>
      </c>
    </row>
    <row r="4" ht="14.25" customHeight="1">
      <c r="A4" s="7" t="s">
        <v>81</v>
      </c>
      <c r="B4" s="7" t="s">
        <v>82</v>
      </c>
      <c r="C4" s="108" t="s">
        <v>83</v>
      </c>
      <c r="D4" s="109" t="s">
        <v>84</v>
      </c>
      <c r="E4" s="109" t="s">
        <v>85</v>
      </c>
      <c r="F4" s="109" t="s">
        <v>86</v>
      </c>
      <c r="G4" s="109" t="s">
        <v>87</v>
      </c>
      <c r="H4" s="109" t="s">
        <v>87</v>
      </c>
      <c r="I4" s="109" t="s">
        <v>88</v>
      </c>
      <c r="J4" s="109" t="s">
        <v>85</v>
      </c>
    </row>
    <row r="5" ht="14.25" customHeight="1">
      <c r="D5" s="110"/>
      <c r="E5" s="110"/>
      <c r="F5" s="109"/>
      <c r="G5" s="110"/>
      <c r="H5" s="110"/>
      <c r="I5" s="110"/>
      <c r="J5" s="110"/>
    </row>
    <row r="6" ht="14.25" customHeight="1">
      <c r="A6" s="111">
        <v>4.8</v>
      </c>
      <c r="B6" s="112">
        <v>2.4</v>
      </c>
      <c r="C6" s="113">
        <f>A6*B6</f>
        <v>11.52</v>
      </c>
      <c r="D6" s="114">
        <f>C2*D2/1000</f>
        <v>10.5</v>
      </c>
      <c r="E6" s="115">
        <f>E2/D6</f>
        <v>95.23809524</v>
      </c>
      <c r="F6" s="115">
        <f>C6*C6</f>
        <v>132.7104</v>
      </c>
      <c r="G6" s="115">
        <f>G2/F6</f>
        <v>75.35204475</v>
      </c>
      <c r="H6" s="115">
        <f>G6*D6</f>
        <v>791.1964699</v>
      </c>
      <c r="I6" s="116">
        <f>H6*I7*I2</f>
        <v>1068115.234</v>
      </c>
      <c r="J6" s="117">
        <f>E6*F6/G2</f>
        <v>1.263908571</v>
      </c>
    </row>
    <row r="7" ht="14.25" customHeight="1">
      <c r="A7" s="111"/>
      <c r="B7" s="112"/>
      <c r="C7" s="118"/>
      <c r="D7" s="119"/>
      <c r="E7" s="120"/>
      <c r="F7" s="120"/>
      <c r="G7" s="120"/>
      <c r="H7" s="121"/>
      <c r="I7" s="122">
        <v>1.35</v>
      </c>
      <c r="J7" s="123"/>
    </row>
    <row r="8" ht="14.25" customHeight="1">
      <c r="A8" s="111">
        <f>A6</f>
        <v>4.8</v>
      </c>
      <c r="B8" s="112">
        <v>2.6</v>
      </c>
      <c r="C8" s="124">
        <f>A8*B8</f>
        <v>12.48</v>
      </c>
      <c r="D8" s="125">
        <f t="shared" ref="D8:E8" si="1">D6</f>
        <v>10.5</v>
      </c>
      <c r="E8" s="126">
        <f t="shared" si="1"/>
        <v>95.23809524</v>
      </c>
      <c r="F8" s="126">
        <f>C8*C8</f>
        <v>155.7504</v>
      </c>
      <c r="G8" s="126">
        <f>G2/F8</f>
        <v>64.20529257</v>
      </c>
      <c r="H8" s="126">
        <f>G8*D8</f>
        <v>674.155572</v>
      </c>
      <c r="I8" s="127">
        <f>H8*I9*I2</f>
        <v>943817.8008</v>
      </c>
      <c r="J8" s="128">
        <f>E8*F8/G2</f>
        <v>1.483337143</v>
      </c>
    </row>
    <row r="9" ht="14.25" customHeight="1">
      <c r="A9" s="111"/>
      <c r="B9" s="112"/>
      <c r="C9" s="129"/>
      <c r="D9" s="130"/>
      <c r="E9" s="131"/>
      <c r="F9" s="131"/>
      <c r="G9" s="131"/>
      <c r="H9" s="132"/>
      <c r="I9" s="133">
        <v>1.4</v>
      </c>
      <c r="J9" s="134"/>
    </row>
    <row r="10" ht="14.25" customHeight="1">
      <c r="A10" s="135">
        <f>A6</f>
        <v>4.8</v>
      </c>
      <c r="B10" s="136">
        <v>2.8</v>
      </c>
      <c r="C10" s="137">
        <f>A10*B10</f>
        <v>13.44</v>
      </c>
      <c r="D10" s="138">
        <f t="shared" ref="D10:E10" si="2">D6</f>
        <v>10.5</v>
      </c>
      <c r="E10" s="139">
        <f t="shared" si="2"/>
        <v>95.23809524</v>
      </c>
      <c r="F10" s="139">
        <f>C10*C10</f>
        <v>180.6336</v>
      </c>
      <c r="G10" s="139">
        <f>G2/F10</f>
        <v>55.36068594</v>
      </c>
      <c r="H10" s="139">
        <f>G10*D10</f>
        <v>581.2872024</v>
      </c>
      <c r="I10" s="140">
        <f>H10*I11*I2</f>
        <v>842866.4435</v>
      </c>
      <c r="J10" s="141">
        <f>E10*F10/G2</f>
        <v>1.72032</v>
      </c>
    </row>
    <row r="11" ht="14.25" customHeight="1">
      <c r="A11" s="135"/>
      <c r="B11" s="136"/>
      <c r="C11" s="142"/>
      <c r="D11" s="143"/>
      <c r="E11" s="144"/>
      <c r="F11" s="145"/>
      <c r="G11" s="144"/>
      <c r="H11" s="146"/>
      <c r="I11" s="147">
        <v>1.45</v>
      </c>
      <c r="J11" s="148"/>
    </row>
    <row r="12" ht="14.25" customHeight="1">
      <c r="A12" s="111">
        <f>A6</f>
        <v>4.8</v>
      </c>
      <c r="B12" s="112">
        <v>3.0</v>
      </c>
      <c r="C12" s="124">
        <f>A12*B12</f>
        <v>14.4</v>
      </c>
      <c r="D12" s="149">
        <f t="shared" ref="D12:E12" si="3">D6</f>
        <v>10.5</v>
      </c>
      <c r="E12" s="150">
        <f t="shared" si="3"/>
        <v>95.23809524</v>
      </c>
      <c r="F12" s="151">
        <f>C12*C12</f>
        <v>207.36</v>
      </c>
      <c r="G12" s="150">
        <f>G2/F12</f>
        <v>48.22530864</v>
      </c>
      <c r="H12" s="151">
        <f>G12*D12</f>
        <v>506.3657407</v>
      </c>
      <c r="I12" s="152">
        <f>H12*I13*I2</f>
        <v>759548.6111</v>
      </c>
      <c r="J12" s="153">
        <f>E12*F12/G2</f>
        <v>1.974857143</v>
      </c>
    </row>
    <row r="13" ht="21.0" customHeight="1">
      <c r="A13" s="111"/>
      <c r="D13" s="154"/>
      <c r="E13" s="155"/>
      <c r="F13" s="156"/>
      <c r="G13" s="155"/>
      <c r="H13" s="157"/>
      <c r="I13" s="158">
        <v>1.5</v>
      </c>
      <c r="J13" s="159"/>
    </row>
    <row r="14" ht="14.25" customHeight="1"/>
    <row r="15" ht="14.25" customHeight="1"/>
    <row r="16" ht="14.25" customHeight="1"/>
    <row r="17" ht="14.25" customHeight="1">
      <c r="A17" s="106" t="s">
        <v>89</v>
      </c>
      <c r="B17" s="9"/>
      <c r="C17" s="9"/>
      <c r="D17" s="9"/>
      <c r="E17" s="9"/>
      <c r="F17" s="9"/>
      <c r="G17" s="9"/>
      <c r="H17" s="9"/>
      <c r="I17" s="9"/>
      <c r="J17" s="10"/>
    </row>
    <row r="18" ht="14.25" customHeight="1">
      <c r="C18" s="28">
        <v>14.0</v>
      </c>
      <c r="D18" s="28">
        <v>750.0</v>
      </c>
      <c r="E18" s="88">
        <v>700.0</v>
      </c>
      <c r="G18" s="88">
        <v>10000.0</v>
      </c>
      <c r="I18" s="88">
        <v>1000.0</v>
      </c>
    </row>
    <row r="19" ht="14.25" customHeight="1">
      <c r="A19" s="13" t="s">
        <v>73</v>
      </c>
      <c r="B19" s="7" t="s">
        <v>74</v>
      </c>
      <c r="D19" s="107" t="s">
        <v>75</v>
      </c>
      <c r="E19" s="107" t="s">
        <v>76</v>
      </c>
      <c r="F19" s="107" t="s">
        <v>77</v>
      </c>
      <c r="G19" s="107" t="s">
        <v>78</v>
      </c>
      <c r="H19" s="107" t="s">
        <v>75</v>
      </c>
      <c r="I19" s="107" t="s">
        <v>79</v>
      </c>
      <c r="J19" s="107" t="s">
        <v>80</v>
      </c>
    </row>
    <row r="20" ht="14.25" customHeight="1">
      <c r="A20" s="7" t="s">
        <v>81</v>
      </c>
      <c r="B20" s="7" t="s">
        <v>82</v>
      </c>
      <c r="C20" s="108" t="s">
        <v>83</v>
      </c>
      <c r="D20" s="109" t="s">
        <v>84</v>
      </c>
      <c r="E20" s="109" t="s">
        <v>85</v>
      </c>
      <c r="F20" s="109" t="s">
        <v>86</v>
      </c>
      <c r="G20" s="109" t="s">
        <v>87</v>
      </c>
      <c r="H20" s="109" t="s">
        <v>87</v>
      </c>
      <c r="I20" s="109" t="s">
        <v>88</v>
      </c>
      <c r="J20" s="109" t="s">
        <v>90</v>
      </c>
    </row>
    <row r="21" ht="14.25" customHeight="1">
      <c r="D21" s="110"/>
      <c r="E21" s="110"/>
      <c r="F21" s="109"/>
      <c r="G21" s="110"/>
      <c r="H21" s="110"/>
      <c r="I21" s="110"/>
      <c r="J21" s="110"/>
    </row>
    <row r="22" ht="14.25" customHeight="1">
      <c r="A22" s="111">
        <v>4.8</v>
      </c>
      <c r="B22" s="112">
        <v>2.4</v>
      </c>
      <c r="C22" s="113">
        <f>A22*B22</f>
        <v>11.52</v>
      </c>
      <c r="D22" s="114">
        <f>C18*D18/1000</f>
        <v>10.5</v>
      </c>
      <c r="E22" s="115">
        <f>E18/D22</f>
        <v>66.66666667</v>
      </c>
      <c r="F22" s="115">
        <f>C22*C22</f>
        <v>132.7104</v>
      </c>
      <c r="G22" s="115">
        <f>G18/F22</f>
        <v>75.35204475</v>
      </c>
      <c r="H22" s="115">
        <f>G22*D22</f>
        <v>791.1964699</v>
      </c>
      <c r="I22" s="116">
        <f>H22*I23*I18</f>
        <v>1068115.234</v>
      </c>
      <c r="J22" s="117">
        <f>E22*F22/G18</f>
        <v>0.884736</v>
      </c>
    </row>
    <row r="23" ht="14.25" customHeight="1">
      <c r="A23" s="111"/>
      <c r="B23" s="112"/>
      <c r="C23" s="118"/>
      <c r="D23" s="119"/>
      <c r="E23" s="120"/>
      <c r="F23" s="120"/>
      <c r="G23" s="120"/>
      <c r="H23" s="121"/>
      <c r="I23" s="122">
        <v>1.35</v>
      </c>
      <c r="J23" s="123"/>
    </row>
    <row r="24" ht="14.25" customHeight="1">
      <c r="A24" s="111">
        <f>A22</f>
        <v>4.8</v>
      </c>
      <c r="B24" s="112">
        <v>2.6</v>
      </c>
      <c r="C24" s="124">
        <f>A24*B24</f>
        <v>12.48</v>
      </c>
      <c r="D24" s="125">
        <f t="shared" ref="D24:E24" si="4">D22</f>
        <v>10.5</v>
      </c>
      <c r="E24" s="126">
        <f t="shared" si="4"/>
        <v>66.66666667</v>
      </c>
      <c r="F24" s="126">
        <f>C24*C24</f>
        <v>155.7504</v>
      </c>
      <c r="G24" s="126">
        <f>G18/F24</f>
        <v>64.20529257</v>
      </c>
      <c r="H24" s="126">
        <f>G24*D24</f>
        <v>674.155572</v>
      </c>
      <c r="I24" s="127">
        <f>H24*I25*I18</f>
        <v>943817.8008</v>
      </c>
      <c r="J24" s="128">
        <f>E24*F24/G18</f>
        <v>1.038336</v>
      </c>
    </row>
    <row r="25" ht="14.25" customHeight="1">
      <c r="A25" s="111"/>
      <c r="B25" s="112"/>
      <c r="C25" s="129"/>
      <c r="D25" s="130"/>
      <c r="E25" s="131"/>
      <c r="F25" s="131"/>
      <c r="G25" s="131"/>
      <c r="H25" s="132"/>
      <c r="I25" s="133">
        <v>1.4</v>
      </c>
      <c r="J25" s="134"/>
    </row>
    <row r="26" ht="14.25" customHeight="1">
      <c r="A26" s="135">
        <f>A22</f>
        <v>4.8</v>
      </c>
      <c r="B26" s="136">
        <v>2.8</v>
      </c>
      <c r="C26" s="137">
        <f>A26*B26</f>
        <v>13.44</v>
      </c>
      <c r="D26" s="138">
        <f t="shared" ref="D26:E26" si="5">D22</f>
        <v>10.5</v>
      </c>
      <c r="E26" s="139">
        <f t="shared" si="5"/>
        <v>66.66666667</v>
      </c>
      <c r="F26" s="139">
        <f>C26*C26</f>
        <v>180.6336</v>
      </c>
      <c r="G26" s="139">
        <f>G18/F26</f>
        <v>55.36068594</v>
      </c>
      <c r="H26" s="139">
        <f>G26*D26</f>
        <v>581.2872024</v>
      </c>
      <c r="I26" s="140">
        <f>H26*I27*I18</f>
        <v>842866.4435</v>
      </c>
      <c r="J26" s="141">
        <f>E26*F26/G18</f>
        <v>1.204224</v>
      </c>
    </row>
    <row r="27" ht="14.25" customHeight="1">
      <c r="A27" s="135"/>
      <c r="B27" s="136"/>
      <c r="C27" s="142"/>
      <c r="D27" s="143"/>
      <c r="E27" s="144"/>
      <c r="F27" s="145"/>
      <c r="G27" s="144"/>
      <c r="H27" s="146"/>
      <c r="I27" s="147">
        <v>1.45</v>
      </c>
      <c r="J27" s="148"/>
    </row>
    <row r="28" ht="14.25" customHeight="1">
      <c r="A28" s="111">
        <f>A22</f>
        <v>4.8</v>
      </c>
      <c r="B28" s="112">
        <v>3.0</v>
      </c>
      <c r="C28" s="124">
        <f>A28*B28</f>
        <v>14.4</v>
      </c>
      <c r="D28" s="149">
        <f t="shared" ref="D28:E28" si="6">D22</f>
        <v>10.5</v>
      </c>
      <c r="E28" s="150">
        <f t="shared" si="6"/>
        <v>66.66666667</v>
      </c>
      <c r="F28" s="151">
        <f>C28*C28</f>
        <v>207.36</v>
      </c>
      <c r="G28" s="150">
        <f>G18/F28</f>
        <v>48.22530864</v>
      </c>
      <c r="H28" s="151">
        <f>G28*D28</f>
        <v>506.3657407</v>
      </c>
      <c r="I28" s="152">
        <f>H28*I29*I18</f>
        <v>759548.6111</v>
      </c>
      <c r="J28" s="153">
        <f>E28*F28/G18</f>
        <v>1.3824</v>
      </c>
    </row>
    <row r="29" ht="14.25" customHeight="1">
      <c r="A29" s="111"/>
      <c r="D29" s="154"/>
      <c r="E29" s="155"/>
      <c r="F29" s="156"/>
      <c r="G29" s="155"/>
      <c r="H29" s="157"/>
      <c r="I29" s="158">
        <v>1.5</v>
      </c>
      <c r="J29" s="159"/>
    </row>
    <row r="30" ht="14.25" customHeight="1"/>
    <row r="31" ht="14.25" customHeight="1"/>
    <row r="32" ht="14.25" customHeight="1">
      <c r="D32" s="160"/>
      <c r="E32" s="161" t="s">
        <v>91</v>
      </c>
      <c r="F32" s="13"/>
      <c r="G32" s="13"/>
    </row>
    <row r="33" ht="14.25" customHeight="1"/>
    <row r="34" ht="14.25" customHeight="1"/>
    <row r="35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J1"/>
    <mergeCell ref="A17:J1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20.29"/>
    <col customWidth="1" min="3" max="3" width="8.71"/>
    <col customWidth="1" min="4" max="4" width="18.14"/>
    <col customWidth="1" min="5" max="5" width="11.71"/>
    <col customWidth="1" min="6" max="7" width="11.57"/>
  </cols>
  <sheetData>
    <row r="1">
      <c r="B1" s="106" t="s">
        <v>92</v>
      </c>
      <c r="C1" s="9"/>
      <c r="D1" s="10"/>
    </row>
    <row r="2">
      <c r="B2" s="162" t="s">
        <v>93</v>
      </c>
      <c r="C2" s="163" t="s">
        <v>94</v>
      </c>
      <c r="D2" s="164">
        <v>50.0</v>
      </c>
    </row>
    <row r="3" ht="14.25" customHeight="1">
      <c r="D3" s="165">
        <v>1.6</v>
      </c>
    </row>
    <row r="4" ht="14.25" customHeight="1">
      <c r="B4" s="166" t="s">
        <v>95</v>
      </c>
      <c r="C4" s="167" t="s">
        <v>96</v>
      </c>
      <c r="D4" s="168">
        <v>4800.0</v>
      </c>
    </row>
    <row r="5" ht="14.25" customHeight="1">
      <c r="B5" s="166" t="s">
        <v>97</v>
      </c>
      <c r="C5" s="167" t="s">
        <v>96</v>
      </c>
      <c r="D5" s="168">
        <v>250000.0</v>
      </c>
      <c r="E5" s="7" t="s">
        <v>98</v>
      </c>
    </row>
    <row r="6" ht="14.25" customHeight="1">
      <c r="B6" s="43"/>
      <c r="C6" s="43"/>
      <c r="D6" s="43"/>
      <c r="E6" s="7" t="s">
        <v>99</v>
      </c>
    </row>
    <row r="7" ht="14.25" customHeight="1">
      <c r="B7" s="166" t="s">
        <v>100</v>
      </c>
      <c r="C7" s="169" t="s">
        <v>62</v>
      </c>
      <c r="D7" s="170">
        <f>D2*1000*D3</f>
        <v>80000</v>
      </c>
      <c r="E7" s="171">
        <v>30000.0</v>
      </c>
      <c r="F7" s="172" t="s">
        <v>101</v>
      </c>
    </row>
    <row r="8" ht="14.25" customHeight="1">
      <c r="B8" s="166" t="s">
        <v>102</v>
      </c>
      <c r="C8" s="167" t="s">
        <v>96</v>
      </c>
      <c r="D8" s="173">
        <v>0.7</v>
      </c>
    </row>
    <row r="9" ht="14.25" customHeight="1">
      <c r="B9" s="166" t="s">
        <v>103</v>
      </c>
      <c r="C9" s="167" t="s">
        <v>96</v>
      </c>
      <c r="D9" s="174">
        <f>D7*D8</f>
        <v>56000</v>
      </c>
    </row>
    <row r="10" ht="14.25" customHeight="1">
      <c r="B10" s="43"/>
      <c r="C10" s="43"/>
      <c r="D10" s="43"/>
    </row>
    <row r="11" ht="14.25" customHeight="1">
      <c r="B11" s="166" t="s">
        <v>104</v>
      </c>
      <c r="C11" s="167" t="s">
        <v>96</v>
      </c>
      <c r="D11" s="174">
        <v>1500.0</v>
      </c>
    </row>
    <row r="12" ht="14.25" customHeight="1">
      <c r="B12" s="43"/>
      <c r="C12" s="43"/>
      <c r="D12" s="43"/>
    </row>
    <row r="13" ht="14.25" customHeight="1">
      <c r="B13" s="166" t="s">
        <v>105</v>
      </c>
      <c r="C13" s="167" t="s">
        <v>96</v>
      </c>
      <c r="D13" s="174">
        <f>D9-D11</f>
        <v>54500</v>
      </c>
    </row>
    <row r="14" ht="14.25" customHeight="1">
      <c r="B14" s="43"/>
      <c r="C14" s="43"/>
      <c r="D14" s="43"/>
    </row>
    <row r="15" ht="14.25" customHeight="1">
      <c r="B15" s="166" t="s">
        <v>106</v>
      </c>
      <c r="C15" s="167" t="s">
        <v>96</v>
      </c>
      <c r="D15" s="174"/>
    </row>
    <row r="16" ht="14.25" customHeight="1">
      <c r="B16" s="166" t="s">
        <v>107</v>
      </c>
      <c r="C16" s="167" t="s">
        <v>96</v>
      </c>
      <c r="D16" s="174">
        <f>D13*0.15</f>
        <v>8175</v>
      </c>
    </row>
    <row r="17" ht="14.25" customHeight="1">
      <c r="B17" s="13"/>
      <c r="C17" s="7"/>
      <c r="D17" s="43"/>
    </row>
    <row r="18" ht="14.25" customHeight="1">
      <c r="B18" s="166" t="s">
        <v>108</v>
      </c>
      <c r="C18" s="167" t="s">
        <v>96</v>
      </c>
      <c r="D18" s="174">
        <f>D13-D16</f>
        <v>46325</v>
      </c>
    </row>
    <row r="19" ht="14.25" customHeight="1">
      <c r="B19" s="13"/>
      <c r="C19" s="7"/>
      <c r="D19" s="43"/>
    </row>
    <row r="20" ht="14.25" customHeight="1">
      <c r="B20" s="166" t="s">
        <v>109</v>
      </c>
      <c r="C20" s="175" t="s">
        <v>63</v>
      </c>
      <c r="D20" s="176">
        <f>D18/D5*100</f>
        <v>18.53</v>
      </c>
    </row>
    <row r="21" ht="14.25" customHeight="1">
      <c r="B21" s="43"/>
      <c r="C21" s="43"/>
      <c r="D21" s="43"/>
      <c r="E21" s="43"/>
      <c r="F21" s="43"/>
      <c r="G21" s="43"/>
    </row>
    <row r="22" ht="14.25" customHeight="1">
      <c r="B22" s="177" t="s">
        <v>110</v>
      </c>
    </row>
    <row r="23" ht="14.25" customHeight="1"/>
    <row r="24" ht="14.25" customHeight="1">
      <c r="B24" s="7" t="s">
        <v>111</v>
      </c>
    </row>
    <row r="25" ht="14.25" customHeight="1">
      <c r="B25" s="7" t="s">
        <v>112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D1"/>
    <mergeCell ref="B22:G22"/>
    <mergeCell ref="B24:G24"/>
    <mergeCell ref="B25:G25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8.43"/>
    <col customWidth="1" min="3" max="3" width="14.86"/>
    <col customWidth="1" min="4" max="6" width="10.43"/>
    <col customWidth="1" min="7" max="7" width="20.29"/>
    <col customWidth="1" min="8" max="8" width="9.0"/>
    <col customWidth="1" min="9" max="9" width="16.57"/>
    <col customWidth="1" min="10" max="11" width="11.57"/>
  </cols>
  <sheetData>
    <row r="1">
      <c r="A1" s="106" t="s">
        <v>113</v>
      </c>
      <c r="B1" s="9"/>
      <c r="C1" s="10"/>
      <c r="G1" s="106" t="s">
        <v>114</v>
      </c>
      <c r="H1" s="9"/>
      <c r="I1" s="10"/>
    </row>
    <row r="2">
      <c r="A2" s="162" t="s">
        <v>93</v>
      </c>
      <c r="B2" s="163" t="s">
        <v>115</v>
      </c>
      <c r="C2" s="178">
        <v>0.7</v>
      </c>
      <c r="G2" s="162" t="s">
        <v>93</v>
      </c>
      <c r="H2" s="163" t="s">
        <v>115</v>
      </c>
      <c r="I2" s="164">
        <v>1.0</v>
      </c>
    </row>
    <row r="3" ht="14.25" customHeight="1">
      <c r="C3" s="165">
        <v>1.45</v>
      </c>
      <c r="I3" s="165">
        <v>1.45</v>
      </c>
    </row>
    <row r="4" ht="14.25" customHeight="1">
      <c r="A4" s="166" t="s">
        <v>116</v>
      </c>
      <c r="B4" s="167" t="s">
        <v>96</v>
      </c>
      <c r="C4" s="168">
        <v>2800000.0</v>
      </c>
      <c r="G4" s="166" t="s">
        <v>117</v>
      </c>
      <c r="H4" s="167" t="s">
        <v>96</v>
      </c>
      <c r="I4" s="168">
        <v>3600000.0</v>
      </c>
    </row>
    <row r="5" ht="14.25" customHeight="1">
      <c r="A5" s="166" t="s">
        <v>97</v>
      </c>
      <c r="B5" s="167" t="s">
        <v>96</v>
      </c>
      <c r="C5" s="168">
        <f>C4</f>
        <v>2800000</v>
      </c>
      <c r="D5" s="7" t="s">
        <v>98</v>
      </c>
      <c r="G5" s="166" t="s">
        <v>97</v>
      </c>
      <c r="H5" s="167" t="s">
        <v>96</v>
      </c>
      <c r="I5" s="168">
        <f>I2*I4</f>
        <v>3600000</v>
      </c>
      <c r="J5" s="7" t="s">
        <v>98</v>
      </c>
    </row>
    <row r="6" ht="14.25" customHeight="1">
      <c r="A6" s="43"/>
      <c r="B6" s="43"/>
      <c r="C6" s="43"/>
      <c r="D6" s="7" t="s">
        <v>99</v>
      </c>
      <c r="G6" s="43"/>
      <c r="H6" s="43"/>
      <c r="I6" s="43"/>
      <c r="J6" s="7" t="s">
        <v>99</v>
      </c>
    </row>
    <row r="7" ht="14.25" customHeight="1">
      <c r="A7" s="166" t="s">
        <v>100</v>
      </c>
      <c r="B7" s="169" t="s">
        <v>118</v>
      </c>
      <c r="C7" s="170">
        <v>1020.0</v>
      </c>
      <c r="D7" s="179">
        <v>300.0</v>
      </c>
      <c r="E7" s="180" t="s">
        <v>101</v>
      </c>
      <c r="G7" s="166" t="s">
        <v>100</v>
      </c>
      <c r="H7" s="169" t="s">
        <v>118</v>
      </c>
      <c r="I7" s="170">
        <f>I2*1000*I3</f>
        <v>1450</v>
      </c>
      <c r="J7" s="179">
        <v>400.0</v>
      </c>
      <c r="K7" s="180" t="s">
        <v>101</v>
      </c>
    </row>
    <row r="8" ht="14.25" customHeight="1">
      <c r="A8" s="166" t="s">
        <v>119</v>
      </c>
      <c r="B8" s="167" t="s">
        <v>96</v>
      </c>
      <c r="C8" s="174">
        <v>420.0</v>
      </c>
      <c r="G8" s="166" t="s">
        <v>119</v>
      </c>
      <c r="H8" s="167" t="s">
        <v>96</v>
      </c>
      <c r="I8" s="174">
        <v>420.0</v>
      </c>
    </row>
    <row r="9" ht="14.25" customHeight="1">
      <c r="A9" s="166" t="s">
        <v>103</v>
      </c>
      <c r="B9" s="167" t="s">
        <v>96</v>
      </c>
      <c r="C9" s="174">
        <f>C7*C8</f>
        <v>428400</v>
      </c>
      <c r="G9" s="166" t="s">
        <v>103</v>
      </c>
      <c r="H9" s="167" t="s">
        <v>96</v>
      </c>
      <c r="I9" s="174">
        <f>I7*I8</f>
        <v>609000</v>
      </c>
    </row>
    <row r="10" ht="14.25" customHeight="1">
      <c r="A10" s="43"/>
      <c r="B10" s="43"/>
      <c r="C10" s="43"/>
      <c r="G10" s="43"/>
      <c r="H10" s="43"/>
      <c r="I10" s="43"/>
    </row>
    <row r="11" ht="14.25" customHeight="1">
      <c r="A11" s="166" t="s">
        <v>104</v>
      </c>
      <c r="B11" s="167" t="s">
        <v>96</v>
      </c>
      <c r="C11" s="174">
        <v>70000.0</v>
      </c>
      <c r="G11" s="166" t="s">
        <v>104</v>
      </c>
      <c r="H11" s="167" t="s">
        <v>96</v>
      </c>
      <c r="I11" s="174">
        <v>80000.0</v>
      </c>
    </row>
    <row r="12" ht="14.25" customHeight="1">
      <c r="A12" s="43"/>
      <c r="B12" s="43"/>
      <c r="C12" s="43"/>
      <c r="G12" s="43"/>
      <c r="H12" s="43"/>
      <c r="I12" s="43"/>
    </row>
    <row r="13" ht="14.25" customHeight="1">
      <c r="A13" s="166" t="s">
        <v>105</v>
      </c>
      <c r="B13" s="167" t="s">
        <v>96</v>
      </c>
      <c r="C13" s="174">
        <f>C9-C11</f>
        <v>358400</v>
      </c>
      <c r="G13" s="166" t="s">
        <v>105</v>
      </c>
      <c r="H13" s="167" t="s">
        <v>96</v>
      </c>
      <c r="I13" s="174">
        <f>I9-I11</f>
        <v>529000</v>
      </c>
    </row>
    <row r="14" ht="14.25" customHeight="1">
      <c r="A14" s="43"/>
      <c r="B14" s="43"/>
      <c r="C14" s="43"/>
      <c r="G14" s="43"/>
      <c r="H14" s="43"/>
      <c r="I14" s="43"/>
    </row>
    <row r="15" ht="14.25" customHeight="1">
      <c r="A15" s="166" t="s">
        <v>106</v>
      </c>
      <c r="B15" s="167" t="s">
        <v>96</v>
      </c>
      <c r="C15" s="174"/>
      <c r="G15" s="166" t="s">
        <v>106</v>
      </c>
      <c r="H15" s="167" t="s">
        <v>96</v>
      </c>
      <c r="I15" s="174"/>
    </row>
    <row r="16" ht="14.25" customHeight="1">
      <c r="A16" s="166" t="s">
        <v>107</v>
      </c>
      <c r="B16" s="167" t="s">
        <v>96</v>
      </c>
      <c r="C16" s="174">
        <f>C13*0.15</f>
        <v>53760</v>
      </c>
      <c r="G16" s="166" t="s">
        <v>107</v>
      </c>
      <c r="H16" s="167" t="s">
        <v>96</v>
      </c>
      <c r="I16" s="174">
        <f>I13*0.15</f>
        <v>79350</v>
      </c>
    </row>
    <row r="17" ht="14.25" customHeight="1">
      <c r="A17" s="13"/>
      <c r="B17" s="7"/>
      <c r="C17" s="43"/>
      <c r="G17" s="13"/>
      <c r="H17" s="7"/>
      <c r="I17" s="43"/>
    </row>
    <row r="18" ht="14.25" customHeight="1">
      <c r="A18" s="166" t="s">
        <v>108</v>
      </c>
      <c r="B18" s="167" t="s">
        <v>96</v>
      </c>
      <c r="C18" s="174">
        <f>C13-C16</f>
        <v>304640</v>
      </c>
      <c r="G18" s="166" t="s">
        <v>108</v>
      </c>
      <c r="H18" s="167" t="s">
        <v>96</v>
      </c>
      <c r="I18" s="174">
        <f>I13-I16</f>
        <v>449650</v>
      </c>
    </row>
    <row r="19" ht="14.25" customHeight="1">
      <c r="A19" s="13"/>
      <c r="B19" s="7"/>
      <c r="C19" s="43"/>
      <c r="G19" s="13"/>
      <c r="H19" s="7"/>
      <c r="I19" s="43"/>
    </row>
    <row r="20" ht="14.25" customHeight="1">
      <c r="A20" s="166" t="s">
        <v>109</v>
      </c>
      <c r="B20" s="175" t="s">
        <v>63</v>
      </c>
      <c r="C20" s="176">
        <f>C18/C5*100</f>
        <v>10.88</v>
      </c>
      <c r="G20" s="166" t="s">
        <v>109</v>
      </c>
      <c r="H20" s="175" t="s">
        <v>63</v>
      </c>
      <c r="I20" s="176">
        <f>I18/I5*100</f>
        <v>12.49027778</v>
      </c>
    </row>
    <row r="21" ht="14.25" customHeight="1"/>
    <row r="22" ht="14.25" customHeight="1">
      <c r="A22" s="177" t="s">
        <v>110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C1"/>
    <mergeCell ref="G1:I1"/>
    <mergeCell ref="A22:I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13.14"/>
    <col customWidth="1" min="3" max="3" width="23.14"/>
    <col customWidth="1" min="4" max="4" width="14.43"/>
    <col customWidth="1" min="5" max="5" width="17.0"/>
    <col customWidth="1" min="6" max="6" width="23.57"/>
    <col customWidth="1" min="7" max="7" width="11.29"/>
  </cols>
  <sheetData>
    <row r="1" ht="14.25" customHeight="1">
      <c r="A1" s="181" t="s">
        <v>120</v>
      </c>
      <c r="B1" s="9"/>
      <c r="C1" s="9"/>
      <c r="D1" s="9"/>
      <c r="E1" s="9"/>
      <c r="F1" s="10"/>
    </row>
    <row r="2" ht="14.25" customHeight="1">
      <c r="A2" s="182">
        <v>710.0</v>
      </c>
      <c r="B2" s="183">
        <v>14.0</v>
      </c>
      <c r="C2" s="13" t="s">
        <v>121</v>
      </c>
      <c r="D2" s="184" t="s">
        <v>122</v>
      </c>
    </row>
    <row r="3" ht="14.25" customHeight="1">
      <c r="A3" s="184">
        <v>1.0</v>
      </c>
      <c r="B3" s="185" t="s">
        <v>123</v>
      </c>
      <c r="C3" s="185" t="s">
        <v>124</v>
      </c>
      <c r="D3" s="185" t="s">
        <v>125</v>
      </c>
      <c r="E3" s="11" t="s">
        <v>126</v>
      </c>
      <c r="F3" s="11" t="s">
        <v>127</v>
      </c>
    </row>
    <row r="4" ht="14.25" customHeight="1">
      <c r="A4" s="186" t="s">
        <v>128</v>
      </c>
      <c r="B4" s="187">
        <f>A2*B2/1000</f>
        <v>9.94</v>
      </c>
      <c r="C4" s="188">
        <v>1.6</v>
      </c>
      <c r="D4" s="189">
        <f>B4*C4</f>
        <v>15.904</v>
      </c>
      <c r="E4" s="190">
        <f>D4*1000</f>
        <v>15904</v>
      </c>
      <c r="F4" s="191">
        <v>0.75</v>
      </c>
      <c r="G4" s="192" t="s">
        <v>96</v>
      </c>
    </row>
    <row r="5" ht="14.25" customHeight="1">
      <c r="A5" s="193"/>
      <c r="B5" s="194"/>
      <c r="C5" s="195"/>
      <c r="D5" s="196"/>
      <c r="F5" s="7" t="s">
        <v>129</v>
      </c>
    </row>
    <row r="6" ht="14.25" customHeight="1">
      <c r="A6" s="197" t="s">
        <v>130</v>
      </c>
      <c r="B6" s="194" t="s">
        <v>131</v>
      </c>
      <c r="C6" s="198">
        <v>70000.0</v>
      </c>
      <c r="D6" s="196"/>
      <c r="E6" s="199" t="s">
        <v>132</v>
      </c>
      <c r="F6" s="200">
        <f>E4*F4</f>
        <v>11928</v>
      </c>
      <c r="G6" s="192" t="s">
        <v>96</v>
      </c>
    </row>
    <row r="7" ht="14.25" customHeight="1">
      <c r="A7" s="197" t="s">
        <v>133</v>
      </c>
      <c r="B7" s="194" t="s">
        <v>131</v>
      </c>
      <c r="C7" s="195">
        <f>C6/B4</f>
        <v>7042.253521</v>
      </c>
      <c r="D7" s="196"/>
    </row>
    <row r="8" ht="14.25" customHeight="1">
      <c r="A8" s="201" t="s">
        <v>134</v>
      </c>
      <c r="B8" s="194" t="s">
        <v>131</v>
      </c>
      <c r="C8" s="202">
        <f>C6/D4</f>
        <v>4401.408451</v>
      </c>
      <c r="D8" s="196"/>
    </row>
    <row r="9" ht="14.25" customHeight="1">
      <c r="A9" s="197"/>
      <c r="B9" s="194"/>
      <c r="C9" s="193"/>
      <c r="D9" s="196"/>
    </row>
    <row r="10" ht="14.25" customHeight="1">
      <c r="A10" s="197"/>
      <c r="B10" s="194"/>
      <c r="C10" s="193"/>
      <c r="D10" s="203"/>
    </row>
    <row r="11" ht="14.25" customHeight="1">
      <c r="A11" s="204"/>
      <c r="B11" s="204"/>
      <c r="C11" s="204"/>
      <c r="D11" s="204"/>
      <c r="E11" s="204"/>
      <c r="F11" s="204"/>
    </row>
    <row r="12" ht="14.25" customHeight="1">
      <c r="A12" s="184" t="s">
        <v>135</v>
      </c>
      <c r="C12" s="205" t="s">
        <v>136</v>
      </c>
      <c r="D12" s="9"/>
      <c r="E12" s="10"/>
    </row>
    <row r="13" ht="14.25" customHeight="1">
      <c r="A13" s="206">
        <f>A2</f>
        <v>710</v>
      </c>
      <c r="B13" s="185" t="s">
        <v>123</v>
      </c>
      <c r="C13" s="185" t="s">
        <v>124</v>
      </c>
      <c r="D13" s="185" t="s">
        <v>125</v>
      </c>
      <c r="E13" s="11" t="s">
        <v>126</v>
      </c>
      <c r="F13" s="11" t="s">
        <v>137</v>
      </c>
    </row>
    <row r="14" ht="14.25" customHeight="1">
      <c r="A14" s="186" t="str">
        <f>A4</f>
        <v>Tracker</v>
      </c>
      <c r="B14" s="207">
        <f>B4*2</f>
        <v>19.88</v>
      </c>
      <c r="C14" s="208">
        <f>C4</f>
        <v>1.6</v>
      </c>
      <c r="D14" s="189">
        <f>B14*C14</f>
        <v>31.808</v>
      </c>
      <c r="E14" s="190">
        <f>D14*1000</f>
        <v>31808</v>
      </c>
      <c r="F14" s="209">
        <f>F4</f>
        <v>0.75</v>
      </c>
      <c r="G14" s="192" t="s">
        <v>96</v>
      </c>
    </row>
    <row r="15" ht="14.25" customHeight="1">
      <c r="A15" s="193"/>
      <c r="B15" s="194"/>
      <c r="C15" s="195"/>
      <c r="D15" s="196"/>
      <c r="F15" s="7" t="s">
        <v>129</v>
      </c>
      <c r="G15" s="192"/>
    </row>
    <row r="16" ht="14.25" customHeight="1">
      <c r="A16" s="197" t="s">
        <v>130</v>
      </c>
      <c r="B16" s="194" t="s">
        <v>131</v>
      </c>
      <c r="C16" s="198">
        <v>120000.0</v>
      </c>
      <c r="D16" s="196"/>
      <c r="E16" s="199" t="s">
        <v>132</v>
      </c>
      <c r="F16" s="200">
        <f>E14*F14</f>
        <v>23856</v>
      </c>
      <c r="G16" s="192" t="s">
        <v>96</v>
      </c>
    </row>
    <row r="17" ht="14.25" customHeight="1">
      <c r="A17" s="197" t="s">
        <v>133</v>
      </c>
      <c r="B17" s="194" t="s">
        <v>131</v>
      </c>
      <c r="C17" s="195">
        <f>C16/B14</f>
        <v>6036.217304</v>
      </c>
      <c r="D17" s="196"/>
    </row>
    <row r="18" ht="14.25" customHeight="1">
      <c r="A18" s="201" t="s">
        <v>134</v>
      </c>
      <c r="B18" s="194" t="s">
        <v>131</v>
      </c>
      <c r="C18" s="202">
        <f>C16/D14</f>
        <v>3772.635815</v>
      </c>
      <c r="D18" s="196"/>
    </row>
    <row r="19" ht="14.25" customHeight="1">
      <c r="A19" s="193"/>
      <c r="B19" s="194"/>
      <c r="C19" s="193"/>
      <c r="D19" s="196"/>
    </row>
    <row r="20" ht="14.25" customHeight="1">
      <c r="A20" s="193"/>
      <c r="B20" s="194"/>
      <c r="C20" s="193"/>
      <c r="D20" s="196"/>
    </row>
    <row r="21" ht="14.25" customHeight="1">
      <c r="A21" s="204"/>
      <c r="B21" s="204"/>
      <c r="C21" s="204"/>
      <c r="D21" s="204"/>
      <c r="E21" s="204"/>
      <c r="F21" s="204"/>
    </row>
    <row r="22" ht="14.25" customHeight="1">
      <c r="A22" s="184" t="s">
        <v>138</v>
      </c>
      <c r="C22" s="205" t="s">
        <v>139</v>
      </c>
      <c r="D22" s="9"/>
      <c r="E22" s="10"/>
    </row>
    <row r="23" ht="14.25" customHeight="1">
      <c r="A23" s="206">
        <f>A2</f>
        <v>710</v>
      </c>
      <c r="B23" s="185" t="s">
        <v>123</v>
      </c>
      <c r="C23" s="185" t="s">
        <v>124</v>
      </c>
      <c r="D23" s="185" t="s">
        <v>125</v>
      </c>
      <c r="E23" s="11" t="s">
        <v>126</v>
      </c>
      <c r="F23" s="11" t="s">
        <v>137</v>
      </c>
    </row>
    <row r="24" ht="14.25" customHeight="1">
      <c r="A24" s="186" t="str">
        <f>A4</f>
        <v>Tracker</v>
      </c>
      <c r="B24" s="187">
        <f>B4*3</f>
        <v>29.82</v>
      </c>
      <c r="C24" s="210">
        <f>C4</f>
        <v>1.6</v>
      </c>
      <c r="D24" s="189">
        <f>B24*C24</f>
        <v>47.712</v>
      </c>
      <c r="E24" s="190">
        <f>D24*1000</f>
        <v>47712</v>
      </c>
      <c r="F24" s="209">
        <f>F4</f>
        <v>0.75</v>
      </c>
      <c r="G24" s="192" t="s">
        <v>96</v>
      </c>
    </row>
    <row r="25" ht="14.25" customHeight="1">
      <c r="A25" s="193"/>
      <c r="B25" s="194"/>
      <c r="C25" s="195"/>
      <c r="D25" s="196"/>
      <c r="F25" s="7" t="s">
        <v>129</v>
      </c>
      <c r="G25" s="192"/>
    </row>
    <row r="26" ht="14.25" customHeight="1">
      <c r="A26" s="197" t="s">
        <v>130</v>
      </c>
      <c r="B26" s="194" t="s">
        <v>131</v>
      </c>
      <c r="C26" s="198">
        <v>170000.0</v>
      </c>
      <c r="D26" s="196"/>
      <c r="E26" s="199" t="s">
        <v>132</v>
      </c>
      <c r="F26" s="200">
        <f>E24*F24</f>
        <v>35784</v>
      </c>
      <c r="G26" s="192" t="s">
        <v>96</v>
      </c>
    </row>
    <row r="27" ht="14.25" customHeight="1">
      <c r="A27" s="197" t="s">
        <v>133</v>
      </c>
      <c r="B27" s="194" t="s">
        <v>131</v>
      </c>
      <c r="C27" s="195">
        <f>C26/B24</f>
        <v>5700.871898</v>
      </c>
      <c r="D27" s="196"/>
    </row>
    <row r="28" ht="14.25" customHeight="1">
      <c r="A28" s="201" t="s">
        <v>134</v>
      </c>
      <c r="B28" s="194" t="s">
        <v>131</v>
      </c>
      <c r="C28" s="202">
        <f>C26/D24</f>
        <v>3563.044936</v>
      </c>
      <c r="D28" s="196"/>
    </row>
    <row r="29" ht="14.25" customHeight="1">
      <c r="A29" s="193"/>
      <c r="B29" s="194"/>
      <c r="C29" s="193"/>
      <c r="D29" s="196"/>
    </row>
    <row r="30" ht="14.25" customHeight="1">
      <c r="A30" s="193"/>
      <c r="B30" s="194"/>
      <c r="C30" s="193"/>
      <c r="D30" s="196"/>
    </row>
    <row r="31" ht="14.25" customHeight="1">
      <c r="A31" s="204"/>
      <c r="B31" s="204"/>
      <c r="C31" s="204"/>
      <c r="D31" s="204"/>
      <c r="E31" s="204"/>
      <c r="F31" s="204"/>
    </row>
    <row r="32" ht="14.25" customHeight="1">
      <c r="A32" s="184" t="s">
        <v>140</v>
      </c>
      <c r="C32" s="205" t="s">
        <v>141</v>
      </c>
      <c r="D32" s="9"/>
      <c r="E32" s="10"/>
    </row>
    <row r="33" ht="14.25" customHeight="1">
      <c r="A33" s="206">
        <f>A2</f>
        <v>710</v>
      </c>
      <c r="B33" s="185" t="s">
        <v>123</v>
      </c>
      <c r="C33" s="185" t="s">
        <v>124</v>
      </c>
      <c r="D33" s="185" t="s">
        <v>125</v>
      </c>
      <c r="E33" s="11" t="s">
        <v>126</v>
      </c>
      <c r="F33" s="11" t="s">
        <v>137</v>
      </c>
    </row>
    <row r="34" ht="14.25" customHeight="1">
      <c r="A34" s="186" t="str">
        <f>A4</f>
        <v>Tracker</v>
      </c>
      <c r="B34" s="207">
        <f>B4*4</f>
        <v>39.76</v>
      </c>
      <c r="C34" s="208">
        <f>C4</f>
        <v>1.6</v>
      </c>
      <c r="D34" s="189">
        <f>B34*C34</f>
        <v>63.616</v>
      </c>
      <c r="E34" s="190">
        <f>D34*1000</f>
        <v>63616</v>
      </c>
      <c r="F34" s="209">
        <f>F4</f>
        <v>0.75</v>
      </c>
      <c r="G34" s="192" t="s">
        <v>96</v>
      </c>
    </row>
    <row r="35" ht="14.25" customHeight="1">
      <c r="A35" s="193"/>
      <c r="B35" s="194"/>
      <c r="C35" s="195"/>
      <c r="D35" s="196"/>
      <c r="F35" s="7" t="s">
        <v>129</v>
      </c>
      <c r="G35" s="192"/>
    </row>
    <row r="36" ht="14.25" customHeight="1">
      <c r="A36" s="197" t="s">
        <v>130</v>
      </c>
      <c r="B36" s="194" t="s">
        <v>131</v>
      </c>
      <c r="C36" s="198">
        <v>220000.0</v>
      </c>
      <c r="D36" s="196"/>
      <c r="E36" s="199" t="s">
        <v>132</v>
      </c>
      <c r="F36" s="200">
        <f>E34*F34</f>
        <v>47712</v>
      </c>
      <c r="G36" s="192" t="s">
        <v>96</v>
      </c>
    </row>
    <row r="37" ht="14.25" customHeight="1">
      <c r="A37" s="197" t="s">
        <v>133</v>
      </c>
      <c r="B37" s="194" t="s">
        <v>131</v>
      </c>
      <c r="C37" s="195">
        <f>C36/B34</f>
        <v>5533.199195</v>
      </c>
      <c r="D37" s="196"/>
    </row>
    <row r="38" ht="14.25" customHeight="1">
      <c r="A38" s="201" t="s">
        <v>134</v>
      </c>
      <c r="B38" s="194" t="s">
        <v>131</v>
      </c>
      <c r="C38" s="202">
        <f>C36/D34</f>
        <v>3458.249497</v>
      </c>
      <c r="D38" s="196"/>
    </row>
    <row r="39" ht="14.25" customHeight="1">
      <c r="A39" s="193"/>
      <c r="B39" s="194"/>
      <c r="C39" s="193"/>
      <c r="D39" s="196"/>
    </row>
    <row r="40" ht="14.25" customHeight="1">
      <c r="A40" s="193"/>
      <c r="B40" s="194"/>
      <c r="C40" s="193"/>
      <c r="D40" s="196"/>
    </row>
    <row r="41" ht="14.25" customHeight="1">
      <c r="A41" s="204"/>
      <c r="B41" s="204"/>
      <c r="C41" s="204"/>
      <c r="D41" s="204"/>
      <c r="E41" s="204"/>
      <c r="F41" s="204"/>
    </row>
    <row r="42" ht="14.25" customHeight="1">
      <c r="A42" s="184" t="s">
        <v>142</v>
      </c>
      <c r="C42" s="211" t="s">
        <v>143</v>
      </c>
      <c r="F42" s="211" t="s">
        <v>19</v>
      </c>
    </row>
    <row r="43" ht="14.25" customHeight="1">
      <c r="A43" s="206">
        <v>710.0</v>
      </c>
      <c r="B43" s="185" t="s">
        <v>123</v>
      </c>
      <c r="C43" s="185" t="s">
        <v>124</v>
      </c>
      <c r="D43" s="185" t="s">
        <v>125</v>
      </c>
      <c r="E43" s="11" t="s">
        <v>126</v>
      </c>
      <c r="F43" s="11" t="s">
        <v>137</v>
      </c>
    </row>
    <row r="44" ht="14.25" customHeight="1">
      <c r="A44" s="186"/>
      <c r="B44" s="207">
        <f>B4*5</f>
        <v>49.7</v>
      </c>
      <c r="C44" s="208">
        <f>C4</f>
        <v>1.6</v>
      </c>
      <c r="D44" s="189">
        <f>B44*C44</f>
        <v>79.52</v>
      </c>
      <c r="E44" s="190">
        <f>D44*1000</f>
        <v>79520</v>
      </c>
      <c r="F44" s="209">
        <f>F4</f>
        <v>0.75</v>
      </c>
      <c r="G44" s="192" t="s">
        <v>96</v>
      </c>
    </row>
    <row r="45" ht="14.25" customHeight="1">
      <c r="A45" s="193"/>
      <c r="B45" s="194"/>
      <c r="C45" s="195"/>
      <c r="D45" s="196"/>
      <c r="F45" s="7" t="s">
        <v>129</v>
      </c>
      <c r="G45" s="192"/>
    </row>
    <row r="46" ht="14.25" customHeight="1">
      <c r="A46" s="197" t="s">
        <v>130</v>
      </c>
      <c r="B46" s="194" t="s">
        <v>131</v>
      </c>
      <c r="C46" s="198">
        <v>250000.0</v>
      </c>
      <c r="D46" s="196"/>
      <c r="E46" s="199" t="s">
        <v>132</v>
      </c>
      <c r="F46" s="200">
        <f>E44*F44</f>
        <v>59640</v>
      </c>
      <c r="G46" s="192" t="s">
        <v>96</v>
      </c>
    </row>
    <row r="47" ht="14.25" customHeight="1">
      <c r="A47" s="197" t="s">
        <v>133</v>
      </c>
      <c r="B47" s="194" t="s">
        <v>131</v>
      </c>
      <c r="C47" s="195">
        <f>C46/B44</f>
        <v>5030.181087</v>
      </c>
      <c r="D47" s="196"/>
    </row>
    <row r="48" ht="14.25" customHeight="1">
      <c r="A48" s="201" t="s">
        <v>134</v>
      </c>
      <c r="B48" s="194" t="s">
        <v>131</v>
      </c>
      <c r="C48" s="202">
        <f>C46/D44</f>
        <v>3143.863179</v>
      </c>
      <c r="D48" s="196"/>
    </row>
    <row r="49" ht="14.25" customHeight="1">
      <c r="A49" s="193"/>
      <c r="B49" s="194"/>
      <c r="C49" s="193"/>
      <c r="D49" s="196"/>
    </row>
    <row r="50" ht="14.25" customHeight="1">
      <c r="A50" s="193"/>
      <c r="B50" s="194"/>
      <c r="C50" s="193"/>
      <c r="D50" s="196"/>
    </row>
    <row r="51" ht="14.25" customHeight="1">
      <c r="A51" s="204"/>
      <c r="B51" s="204"/>
      <c r="C51" s="204"/>
      <c r="D51" s="204"/>
      <c r="E51" s="204"/>
      <c r="F51" s="204"/>
    </row>
    <row r="52" ht="14.25" customHeight="1"/>
    <row r="53" ht="14.25" customHeight="1">
      <c r="A53" s="193"/>
      <c r="B53" s="194"/>
      <c r="C53" s="212"/>
      <c r="D53" s="196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D2:F2"/>
    <mergeCell ref="C12:E12"/>
    <mergeCell ref="C22:E22"/>
    <mergeCell ref="C32:E32"/>
    <mergeCell ref="C42:E42"/>
  </mergeCell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14.43"/>
    <col customWidth="1" min="3" max="3" width="16.86"/>
    <col customWidth="1" min="4" max="4" width="15.57"/>
    <col customWidth="1" min="5" max="5" width="16.86"/>
    <col customWidth="1" min="6" max="6" width="20.14"/>
    <col customWidth="1" min="7" max="9" width="8.71"/>
  </cols>
  <sheetData>
    <row r="1" ht="14.25" customHeight="1">
      <c r="A1" s="213" t="s">
        <v>144</v>
      </c>
      <c r="B1" s="9"/>
      <c r="C1" s="9"/>
      <c r="D1" s="9"/>
      <c r="E1" s="9"/>
      <c r="F1" s="10"/>
    </row>
    <row r="2" ht="14.25" customHeight="1">
      <c r="A2" s="7"/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</row>
    <row r="3" ht="14.25" customHeight="1">
      <c r="A3" s="186"/>
      <c r="B3" s="214">
        <v>1.0</v>
      </c>
      <c r="C3" s="210">
        <v>1.45</v>
      </c>
      <c r="D3" s="215">
        <f>B3*1000*C3</f>
        <v>1450</v>
      </c>
      <c r="E3" s="216">
        <f>D3*1000</f>
        <v>1450000</v>
      </c>
      <c r="F3" s="217">
        <v>420.0</v>
      </c>
    </row>
    <row r="4" ht="14.25" customHeight="1">
      <c r="A4" s="193"/>
      <c r="B4" s="194"/>
      <c r="C4" s="195"/>
      <c r="D4" s="196"/>
      <c r="E4" s="43"/>
      <c r="F4" s="7" t="s">
        <v>129</v>
      </c>
    </row>
    <row r="5" ht="14.25" customHeight="1">
      <c r="A5" s="197" t="s">
        <v>130</v>
      </c>
      <c r="B5" s="194" t="s">
        <v>131</v>
      </c>
      <c r="C5" s="218">
        <v>3400000.0</v>
      </c>
      <c r="D5" s="196"/>
      <c r="E5" s="199" t="s">
        <v>132</v>
      </c>
      <c r="F5" s="200">
        <f>D3*F3</f>
        <v>609000</v>
      </c>
      <c r="I5" s="43"/>
    </row>
    <row r="6" ht="8.25" customHeight="1">
      <c r="A6" s="197"/>
      <c r="B6" s="194"/>
      <c r="C6" s="195"/>
      <c r="D6" s="196"/>
      <c r="E6" s="199"/>
      <c r="F6" s="200"/>
    </row>
    <row r="7" ht="15.0" customHeight="1">
      <c r="A7" s="177" t="s">
        <v>150</v>
      </c>
    </row>
    <row r="8" ht="15.0" customHeight="1">
      <c r="A8" s="43"/>
      <c r="B8" s="43"/>
      <c r="C8" s="43"/>
      <c r="D8" s="43"/>
      <c r="E8" s="43"/>
      <c r="F8" s="43"/>
    </row>
    <row r="9" ht="15.0" customHeight="1">
      <c r="A9" s="219"/>
    </row>
    <row r="10" ht="15.0" customHeight="1"/>
    <row r="11" ht="15.0" customHeight="1"/>
    <row r="12" ht="15.0" customHeight="1"/>
    <row r="13" ht="15.0" customHeight="1"/>
    <row r="14" ht="15.0" customHeight="1"/>
    <row r="15" ht="15.0" customHeight="1"/>
    <row r="16" ht="15.0" customHeight="1"/>
    <row r="17" ht="15.0" customHeight="1"/>
    <row r="18" ht="15.0" customHeight="1"/>
    <row r="19" ht="15.0" customHeight="1"/>
    <row r="20" ht="15.0" customHeight="1">
      <c r="A20" s="179" t="s">
        <v>151</v>
      </c>
    </row>
    <row r="21" ht="15.0" customHeight="1">
      <c r="A21" s="43"/>
      <c r="B21" s="43"/>
      <c r="C21" s="43"/>
      <c r="D21" s="43"/>
      <c r="E21" s="43"/>
      <c r="F21" s="43"/>
    </row>
    <row r="22" ht="15.0" customHeight="1">
      <c r="A22" s="204"/>
      <c r="B22" s="204"/>
      <c r="C22" s="204"/>
      <c r="D22" s="204"/>
      <c r="E22" s="204"/>
      <c r="F22" s="204"/>
    </row>
    <row r="23" ht="14.25" customHeight="1">
      <c r="A23" s="213" t="s">
        <v>152</v>
      </c>
      <c r="B23" s="9"/>
      <c r="C23" s="9"/>
      <c r="D23" s="9"/>
      <c r="E23" s="9"/>
      <c r="F23" s="10"/>
    </row>
    <row r="24" ht="14.25" customHeight="1">
      <c r="A24" s="7"/>
      <c r="B24" s="11" t="s">
        <v>145</v>
      </c>
      <c r="C24" s="11" t="s">
        <v>146</v>
      </c>
      <c r="D24" s="11" t="s">
        <v>147</v>
      </c>
      <c r="E24" s="11" t="s">
        <v>148</v>
      </c>
      <c r="F24" s="11" t="s">
        <v>149</v>
      </c>
    </row>
    <row r="25" ht="14.25" customHeight="1">
      <c r="A25" s="186"/>
      <c r="B25" s="220">
        <v>0.7</v>
      </c>
      <c r="C25" s="210">
        <v>1.45</v>
      </c>
      <c r="D25" s="215">
        <f>B25*1000*C25</f>
        <v>1015</v>
      </c>
      <c r="E25" s="216">
        <f>D25*1000</f>
        <v>1015000</v>
      </c>
      <c r="F25" s="221">
        <v>420.0</v>
      </c>
    </row>
    <row r="26" ht="14.25" customHeight="1">
      <c r="A26" s="193"/>
      <c r="B26" s="194"/>
      <c r="C26" s="195"/>
      <c r="D26" s="196"/>
      <c r="E26" s="43"/>
      <c r="F26" s="7" t="s">
        <v>129</v>
      </c>
    </row>
    <row r="27" ht="14.25" customHeight="1">
      <c r="A27" s="197" t="s">
        <v>130</v>
      </c>
      <c r="B27" s="194" t="s">
        <v>131</v>
      </c>
      <c r="C27" s="218">
        <v>2800000.0</v>
      </c>
      <c r="D27" s="196"/>
      <c r="E27" s="199" t="s">
        <v>132</v>
      </c>
      <c r="F27" s="200">
        <f>D25*F25</f>
        <v>426300</v>
      </c>
    </row>
    <row r="28" ht="9.0" customHeight="1">
      <c r="A28" s="197"/>
      <c r="B28" s="194"/>
      <c r="C28" s="195"/>
      <c r="D28" s="196"/>
      <c r="E28" s="199"/>
      <c r="F28" s="200"/>
    </row>
    <row r="29" ht="14.25" customHeight="1">
      <c r="A29" s="177" t="s">
        <v>153</v>
      </c>
    </row>
    <row r="30" ht="14.25" customHeight="1">
      <c r="A30" s="43"/>
      <c r="B30" s="43"/>
      <c r="C30" s="43"/>
      <c r="D30" s="43"/>
      <c r="E30" s="43"/>
    </row>
    <row r="31" ht="14.25" customHeight="1">
      <c r="A31" s="219"/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>
      <c r="A43" s="179" t="s">
        <v>154</v>
      </c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F1"/>
    <mergeCell ref="A7:F7"/>
    <mergeCell ref="A9:F19"/>
    <mergeCell ref="A20:F20"/>
    <mergeCell ref="A23:F23"/>
    <mergeCell ref="A29:F29"/>
    <mergeCell ref="A31:F42"/>
    <mergeCell ref="A43:F43"/>
  </mergeCells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5.29"/>
    <col customWidth="1" min="3" max="3" width="16.0"/>
    <col customWidth="1" min="4" max="4" width="13.57"/>
    <col customWidth="1" min="5" max="5" width="16.14"/>
    <col customWidth="1" min="6" max="6" width="12.86"/>
    <col customWidth="1" min="7" max="7" width="10.14"/>
    <col customWidth="1" min="8" max="8" width="1.29"/>
    <col customWidth="1" min="9" max="9" width="11.86"/>
    <col customWidth="1" min="10" max="10" width="9.43"/>
    <col customWidth="1" min="11" max="11" width="14.43"/>
    <col customWidth="1" min="12" max="12" width="23.14"/>
  </cols>
  <sheetData>
    <row r="1" ht="33.75" customHeight="1">
      <c r="A1" s="222" t="s">
        <v>155</v>
      </c>
      <c r="B1" s="223">
        <v>250000.0</v>
      </c>
      <c r="C1" s="10"/>
      <c r="D1" s="224" t="s">
        <v>156</v>
      </c>
      <c r="E1" s="9"/>
      <c r="F1" s="10"/>
      <c r="G1" s="225">
        <v>1.0</v>
      </c>
      <c r="H1" s="226"/>
      <c r="I1" s="227" t="s">
        <v>94</v>
      </c>
      <c r="J1" s="228" t="s">
        <v>157</v>
      </c>
    </row>
    <row r="2" ht="14.25" customHeight="1">
      <c r="H2" s="229"/>
    </row>
    <row r="3" ht="14.25" customHeight="1">
      <c r="C3" s="11" t="s">
        <v>158</v>
      </c>
      <c r="D3" s="11" t="s">
        <v>63</v>
      </c>
      <c r="E3" s="11" t="s">
        <v>159</v>
      </c>
      <c r="F3" s="11" t="s">
        <v>160</v>
      </c>
      <c r="H3" s="229"/>
      <c r="I3" s="11" t="s">
        <v>161</v>
      </c>
      <c r="J3" s="11" t="s">
        <v>62</v>
      </c>
      <c r="K3" s="11" t="s">
        <v>161</v>
      </c>
      <c r="L3" s="11" t="s">
        <v>162</v>
      </c>
    </row>
    <row r="4">
      <c r="A4" s="230" t="s">
        <v>163</v>
      </c>
      <c r="B4" s="10"/>
      <c r="D4" s="231">
        <v>6.0</v>
      </c>
      <c r="E4" s="43"/>
      <c r="F4" s="7" t="s">
        <v>164</v>
      </c>
      <c r="H4" s="229"/>
      <c r="I4" s="11" t="s">
        <v>165</v>
      </c>
      <c r="J4" s="232" t="s">
        <v>96</v>
      </c>
      <c r="K4" s="233" t="s">
        <v>62</v>
      </c>
      <c r="L4" s="234" t="s">
        <v>96</v>
      </c>
    </row>
    <row r="5" ht="14.25" customHeight="1">
      <c r="D5" s="235">
        <f>D4/1200</f>
        <v>0.005</v>
      </c>
      <c r="H5" s="229"/>
      <c r="I5" s="219"/>
      <c r="J5" s="35"/>
    </row>
    <row r="6" ht="15.0" customHeight="1">
      <c r="A6" s="7"/>
      <c r="B6" s="13" t="s">
        <v>22</v>
      </c>
      <c r="C6" s="236">
        <f>B1/120</f>
        <v>2083.333333</v>
      </c>
      <c r="D6" s="237">
        <f>B1*D5</f>
        <v>1250</v>
      </c>
      <c r="E6" s="238">
        <f t="shared" ref="E6:E17" si="1">C6+D6</f>
        <v>3333.333333</v>
      </c>
      <c r="F6" s="35">
        <f>B1-C6</f>
        <v>247916.6667</v>
      </c>
      <c r="H6" s="229"/>
      <c r="I6" s="35"/>
      <c r="J6" s="239">
        <v>0.5</v>
      </c>
      <c r="K6" s="19">
        <f>I19</f>
        <v>80000</v>
      </c>
      <c r="L6" s="238">
        <f>J6*K6</f>
        <v>40000</v>
      </c>
    </row>
    <row r="7" ht="15.0" customHeight="1">
      <c r="A7" s="7"/>
      <c r="B7" s="13" t="s">
        <v>166</v>
      </c>
      <c r="C7" s="238">
        <f>C6</f>
        <v>2083.333333</v>
      </c>
      <c r="D7" s="237">
        <f>F6*D5</f>
        <v>1239.583333</v>
      </c>
      <c r="E7" s="238">
        <f t="shared" si="1"/>
        <v>3322.916667</v>
      </c>
      <c r="F7" s="35">
        <f t="shared" ref="F7:F17" si="2">F6-C7</f>
        <v>245833.3333</v>
      </c>
      <c r="H7" s="229"/>
      <c r="I7" s="35"/>
      <c r="J7" s="240"/>
    </row>
    <row r="8" ht="14.25" customHeight="1">
      <c r="A8" s="7"/>
      <c r="B8" s="13" t="s">
        <v>24</v>
      </c>
      <c r="C8" s="238">
        <f>C6</f>
        <v>2083.333333</v>
      </c>
      <c r="D8" s="237">
        <f>F7*D5</f>
        <v>1229.166667</v>
      </c>
      <c r="E8" s="238">
        <f t="shared" si="1"/>
        <v>3312.5</v>
      </c>
      <c r="F8" s="35">
        <f t="shared" si="2"/>
        <v>243750</v>
      </c>
      <c r="H8" s="229"/>
      <c r="I8" s="35"/>
      <c r="L8" s="241" t="s">
        <v>104</v>
      </c>
    </row>
    <row r="9" ht="15.0" customHeight="1">
      <c r="A9" s="7"/>
      <c r="B9" s="13" t="s">
        <v>167</v>
      </c>
      <c r="C9" s="238">
        <f>C6</f>
        <v>2083.333333</v>
      </c>
      <c r="D9" s="237">
        <f>F8*D5</f>
        <v>1218.75</v>
      </c>
      <c r="E9" s="238">
        <f t="shared" si="1"/>
        <v>3302.083333</v>
      </c>
      <c r="F9" s="35">
        <f t="shared" si="2"/>
        <v>241666.6667</v>
      </c>
      <c r="H9" s="229"/>
      <c r="I9" s="35"/>
      <c r="J9" s="238"/>
      <c r="K9" s="193" t="s">
        <v>168</v>
      </c>
      <c r="L9" s="238">
        <f>E19</f>
        <v>39312.5</v>
      </c>
    </row>
    <row r="10" ht="14.25" customHeight="1">
      <c r="A10" s="242">
        <v>1.0</v>
      </c>
      <c r="B10" s="13" t="s">
        <v>28</v>
      </c>
      <c r="C10" s="238">
        <f>C6</f>
        <v>2083.333333</v>
      </c>
      <c r="D10" s="237">
        <f>F9*D5</f>
        <v>1208.333333</v>
      </c>
      <c r="E10" s="238">
        <f t="shared" si="1"/>
        <v>3291.666667</v>
      </c>
      <c r="F10" s="35">
        <f t="shared" si="2"/>
        <v>239583.3333</v>
      </c>
      <c r="H10" s="229"/>
      <c r="I10" s="35"/>
      <c r="K10" s="193" t="s">
        <v>169</v>
      </c>
      <c r="L10" s="243"/>
    </row>
    <row r="11" ht="14.25" customHeight="1">
      <c r="A11" s="244"/>
      <c r="B11" s="13" t="s">
        <v>31</v>
      </c>
      <c r="C11" s="238">
        <f>C6</f>
        <v>2083.333333</v>
      </c>
      <c r="D11" s="237">
        <f>F10*D5</f>
        <v>1197.916667</v>
      </c>
      <c r="E11" s="238">
        <f t="shared" si="1"/>
        <v>3281.25</v>
      </c>
      <c r="F11" s="35">
        <f t="shared" si="2"/>
        <v>237500</v>
      </c>
      <c r="H11" s="229"/>
      <c r="I11" s="35"/>
      <c r="J11" s="219"/>
      <c r="K11" s="212" t="s">
        <v>159</v>
      </c>
      <c r="L11" s="236">
        <f>L9+L10</f>
        <v>39312.5</v>
      </c>
    </row>
    <row r="12" ht="14.25" customHeight="1">
      <c r="A12" s="244"/>
      <c r="B12" s="13" t="s">
        <v>32</v>
      </c>
      <c r="C12" s="238">
        <f>C6</f>
        <v>2083.333333</v>
      </c>
      <c r="D12" s="245">
        <f>F11*D5</f>
        <v>1187.5</v>
      </c>
      <c r="E12" s="238">
        <f t="shared" si="1"/>
        <v>3270.833333</v>
      </c>
      <c r="F12" s="35">
        <f t="shared" si="2"/>
        <v>235416.6667</v>
      </c>
      <c r="H12" s="229"/>
      <c r="I12" s="35"/>
    </row>
    <row r="13" ht="14.25" customHeight="1">
      <c r="A13" s="246"/>
      <c r="B13" s="13" t="s">
        <v>170</v>
      </c>
      <c r="C13" s="238">
        <f>C6</f>
        <v>2083.333333</v>
      </c>
      <c r="D13" s="245">
        <f>F12*D5</f>
        <v>1177.083333</v>
      </c>
      <c r="E13" s="238">
        <f t="shared" si="1"/>
        <v>3260.416667</v>
      </c>
      <c r="F13" s="35">
        <f t="shared" si="2"/>
        <v>233333.3333</v>
      </c>
      <c r="H13" s="229"/>
      <c r="I13" s="35"/>
      <c r="L13" s="247">
        <f>L6-L11</f>
        <v>687.5</v>
      </c>
    </row>
    <row r="14" ht="14.25" customHeight="1">
      <c r="A14" s="7"/>
      <c r="B14" s="13" t="s">
        <v>35</v>
      </c>
      <c r="C14" s="238">
        <f>C6</f>
        <v>2083.333333</v>
      </c>
      <c r="D14" s="245">
        <f>F13*D5</f>
        <v>1166.666667</v>
      </c>
      <c r="E14" s="238">
        <f t="shared" si="1"/>
        <v>3250</v>
      </c>
      <c r="F14" s="35">
        <f t="shared" si="2"/>
        <v>231250</v>
      </c>
      <c r="H14" s="229"/>
      <c r="I14" s="35"/>
      <c r="L14" s="246"/>
    </row>
    <row r="15" ht="14.25" customHeight="1">
      <c r="A15" s="7"/>
      <c r="B15" s="13" t="s">
        <v>171</v>
      </c>
      <c r="C15" s="238">
        <f>C6</f>
        <v>2083.333333</v>
      </c>
      <c r="D15" s="245">
        <f>F14*D5</f>
        <v>1156.25</v>
      </c>
      <c r="E15" s="238">
        <f t="shared" si="1"/>
        <v>3239.583333</v>
      </c>
      <c r="F15" s="35">
        <f t="shared" si="2"/>
        <v>229166.6667</v>
      </c>
      <c r="H15" s="229"/>
      <c r="I15" s="248" t="s">
        <v>172</v>
      </c>
    </row>
    <row r="16" ht="14.25" customHeight="1">
      <c r="A16" s="7"/>
      <c r="B16" s="13" t="s">
        <v>37</v>
      </c>
      <c r="C16" s="238">
        <f>C6</f>
        <v>2083.333333</v>
      </c>
      <c r="D16" s="245">
        <f>F15*D5</f>
        <v>1145.833333</v>
      </c>
      <c r="E16" s="238">
        <f t="shared" si="1"/>
        <v>3229.166667</v>
      </c>
      <c r="F16" s="35">
        <f t="shared" si="2"/>
        <v>227083.3333</v>
      </c>
      <c r="H16" s="229"/>
      <c r="I16" s="248" t="s">
        <v>99</v>
      </c>
      <c r="K16" s="249"/>
      <c r="L16" s="35"/>
    </row>
    <row r="17" ht="15.0" customHeight="1">
      <c r="A17" s="7"/>
      <c r="B17" s="13" t="s">
        <v>39</v>
      </c>
      <c r="C17" s="238">
        <f>C6</f>
        <v>2083.333333</v>
      </c>
      <c r="D17" s="245">
        <f>F16*D5</f>
        <v>1135.416667</v>
      </c>
      <c r="E17" s="238">
        <f t="shared" si="1"/>
        <v>3218.75</v>
      </c>
      <c r="F17" s="250">
        <f t="shared" si="2"/>
        <v>225000</v>
      </c>
      <c r="H17" s="229"/>
      <c r="I17" s="19">
        <v>30000.0</v>
      </c>
      <c r="K17" s="43"/>
      <c r="L17" s="35"/>
    </row>
    <row r="18" ht="15.0" customHeight="1">
      <c r="C18" s="240"/>
      <c r="H18" s="229"/>
      <c r="K18" s="249"/>
      <c r="L18" s="43"/>
    </row>
    <row r="19" ht="14.25" customHeight="1">
      <c r="B19" s="193" t="s">
        <v>159</v>
      </c>
      <c r="C19" s="238">
        <f t="shared" ref="C19:E19" si="3">SUM(C6:C18)</f>
        <v>25000</v>
      </c>
      <c r="D19" s="238">
        <f t="shared" si="3"/>
        <v>14312.5</v>
      </c>
      <c r="E19" s="251">
        <f t="shared" si="3"/>
        <v>39312.5</v>
      </c>
      <c r="F19" s="252">
        <f>E19/I19</f>
        <v>0.49140625</v>
      </c>
      <c r="G19" s="253" t="s">
        <v>173</v>
      </c>
      <c r="H19" s="229"/>
      <c r="I19" s="254">
        <v>80000.0</v>
      </c>
      <c r="K19" s="193" t="s">
        <v>174</v>
      </c>
      <c r="L19" s="255">
        <f>L11/K6</f>
        <v>0.49140625</v>
      </c>
    </row>
    <row r="20" ht="14.25" customHeight="1">
      <c r="C20" s="240"/>
      <c r="H20" s="229"/>
      <c r="I20" s="233" t="s">
        <v>175</v>
      </c>
      <c r="K20" s="193" t="s">
        <v>176</v>
      </c>
      <c r="L20" s="246"/>
    </row>
    <row r="21" ht="14.25" customHeight="1">
      <c r="A21" s="229"/>
      <c r="B21" s="229"/>
      <c r="C21" s="256"/>
      <c r="D21" s="229"/>
      <c r="E21" s="229"/>
      <c r="F21" s="229"/>
      <c r="G21" s="229"/>
      <c r="H21" s="229"/>
      <c r="I21" s="257"/>
      <c r="J21" s="229"/>
      <c r="K21" s="229"/>
      <c r="L21" s="229"/>
    </row>
    <row r="22" ht="14.25" customHeight="1">
      <c r="C22" s="240"/>
      <c r="H22" s="229"/>
      <c r="I22" s="233"/>
      <c r="J22" s="11" t="s">
        <v>62</v>
      </c>
      <c r="K22" s="11" t="s">
        <v>161</v>
      </c>
      <c r="L22" s="11" t="s">
        <v>162</v>
      </c>
    </row>
    <row r="23" ht="14.25" customHeight="1">
      <c r="C23" s="240"/>
      <c r="H23" s="229"/>
      <c r="I23" s="233"/>
      <c r="J23" s="232" t="s">
        <v>96</v>
      </c>
      <c r="K23" s="233" t="s">
        <v>62</v>
      </c>
      <c r="L23" s="234" t="s">
        <v>96</v>
      </c>
    </row>
    <row r="24" ht="14.25" customHeight="1">
      <c r="D24" s="235">
        <f>D5</f>
        <v>0.005</v>
      </c>
      <c r="H24" s="229"/>
      <c r="J24" s="35"/>
    </row>
    <row r="25" ht="14.25" customHeight="1">
      <c r="A25" s="7"/>
      <c r="B25" s="13" t="s">
        <v>22</v>
      </c>
      <c r="C25" s="238">
        <f>C6</f>
        <v>2083.333333</v>
      </c>
      <c r="D25" s="237">
        <f>F17*D24</f>
        <v>1125</v>
      </c>
      <c r="E25" s="238">
        <f t="shared" ref="E25:E36" si="5">C25+D25</f>
        <v>3208.333333</v>
      </c>
      <c r="F25" s="35">
        <f>F17-C25</f>
        <v>222916.6667</v>
      </c>
      <c r="H25" s="229"/>
      <c r="J25" s="258">
        <f t="shared" ref="J25:K25" si="4">J6</f>
        <v>0.5</v>
      </c>
      <c r="K25" s="19">
        <f t="shared" si="4"/>
        <v>80000</v>
      </c>
      <c r="L25" s="238">
        <f>J25*K25</f>
        <v>40000</v>
      </c>
    </row>
    <row r="26" ht="14.25" customHeight="1">
      <c r="A26" s="7"/>
      <c r="B26" s="13" t="s">
        <v>166</v>
      </c>
      <c r="C26" s="238">
        <f>C6</f>
        <v>2083.333333</v>
      </c>
      <c r="D26" s="237">
        <f>F25*D24</f>
        <v>1114.583333</v>
      </c>
      <c r="E26" s="238">
        <f t="shared" si="5"/>
        <v>3197.916667</v>
      </c>
      <c r="F26" s="35">
        <f t="shared" ref="F26:F36" si="6">F25-C26</f>
        <v>220833.3333</v>
      </c>
      <c r="H26" s="229"/>
      <c r="J26" s="240"/>
    </row>
    <row r="27" ht="14.25" customHeight="1">
      <c r="A27" s="7"/>
      <c r="B27" s="13" t="s">
        <v>24</v>
      </c>
      <c r="C27" s="238">
        <f>C6</f>
        <v>2083.333333</v>
      </c>
      <c r="D27" s="237">
        <f>F26*D24</f>
        <v>1104.166667</v>
      </c>
      <c r="E27" s="238">
        <f t="shared" si="5"/>
        <v>3187.5</v>
      </c>
      <c r="F27" s="35">
        <f t="shared" si="6"/>
        <v>218750</v>
      </c>
      <c r="H27" s="229"/>
      <c r="L27" s="241" t="s">
        <v>104</v>
      </c>
    </row>
    <row r="28" ht="15.0" customHeight="1">
      <c r="A28" s="7"/>
      <c r="B28" s="13" t="s">
        <v>167</v>
      </c>
      <c r="C28" s="238">
        <f>C6</f>
        <v>2083.333333</v>
      </c>
      <c r="D28" s="237">
        <f>F27*D24</f>
        <v>1093.75</v>
      </c>
      <c r="E28" s="238">
        <f t="shared" si="5"/>
        <v>3177.083333</v>
      </c>
      <c r="F28" s="35">
        <f t="shared" si="6"/>
        <v>216666.6667</v>
      </c>
      <c r="H28" s="229"/>
      <c r="J28" s="238"/>
      <c r="K28" s="193" t="s">
        <v>168</v>
      </c>
      <c r="L28" s="238">
        <f>E38</f>
        <v>37812.5</v>
      </c>
    </row>
    <row r="29" ht="14.25" customHeight="1">
      <c r="A29" s="242">
        <v>2.0</v>
      </c>
      <c r="B29" s="13" t="s">
        <v>28</v>
      </c>
      <c r="C29" s="238">
        <f>C6</f>
        <v>2083.333333</v>
      </c>
      <c r="D29" s="237">
        <f>F28*D24</f>
        <v>1083.333333</v>
      </c>
      <c r="E29" s="238">
        <f t="shared" si="5"/>
        <v>3166.666667</v>
      </c>
      <c r="F29" s="35">
        <f t="shared" si="6"/>
        <v>214583.3333</v>
      </c>
      <c r="H29" s="229"/>
      <c r="K29" s="193" t="s">
        <v>169</v>
      </c>
      <c r="L29" s="238" t="str">
        <f>L10</f>
        <v/>
      </c>
    </row>
    <row r="30" ht="14.25" customHeight="1">
      <c r="A30" s="244"/>
      <c r="B30" s="13" t="s">
        <v>31</v>
      </c>
      <c r="C30" s="238">
        <f>C6</f>
        <v>2083.333333</v>
      </c>
      <c r="D30" s="237">
        <f>F29*D24</f>
        <v>1072.916667</v>
      </c>
      <c r="E30" s="238">
        <f t="shared" si="5"/>
        <v>3156.25</v>
      </c>
      <c r="F30" s="35">
        <f t="shared" si="6"/>
        <v>212500</v>
      </c>
      <c r="H30" s="229"/>
      <c r="J30" s="219"/>
      <c r="K30" s="212" t="s">
        <v>159</v>
      </c>
      <c r="L30" s="236">
        <f>L28+L29</f>
        <v>37812.5</v>
      </c>
    </row>
    <row r="31" ht="14.25" customHeight="1">
      <c r="A31" s="244"/>
      <c r="B31" s="13" t="s">
        <v>32</v>
      </c>
      <c r="C31" s="238">
        <f>C6</f>
        <v>2083.333333</v>
      </c>
      <c r="D31" s="245">
        <f>F30*D24</f>
        <v>1062.5</v>
      </c>
      <c r="E31" s="238">
        <f t="shared" si="5"/>
        <v>3145.833333</v>
      </c>
      <c r="F31" s="35">
        <f t="shared" si="6"/>
        <v>210416.6667</v>
      </c>
      <c r="H31" s="229"/>
    </row>
    <row r="32" ht="15.0" customHeight="1">
      <c r="A32" s="246"/>
      <c r="B32" s="13" t="s">
        <v>170</v>
      </c>
      <c r="C32" s="238">
        <f>C6</f>
        <v>2083.333333</v>
      </c>
      <c r="D32" s="245">
        <f>F31*D24</f>
        <v>1052.083333</v>
      </c>
      <c r="E32" s="238">
        <f t="shared" si="5"/>
        <v>3135.416667</v>
      </c>
      <c r="F32" s="35">
        <f t="shared" si="6"/>
        <v>208333.3333</v>
      </c>
      <c r="H32" s="229"/>
      <c r="L32" s="247">
        <f>L25-L30</f>
        <v>2187.5</v>
      </c>
    </row>
    <row r="33" ht="15.0" customHeight="1">
      <c r="A33" s="7"/>
      <c r="B33" s="13" t="s">
        <v>35</v>
      </c>
      <c r="C33" s="238">
        <f>C6</f>
        <v>2083.333333</v>
      </c>
      <c r="D33" s="245">
        <f>F32*D24</f>
        <v>1041.666667</v>
      </c>
      <c r="E33" s="238">
        <f t="shared" si="5"/>
        <v>3125</v>
      </c>
      <c r="F33" s="35">
        <f t="shared" si="6"/>
        <v>206250</v>
      </c>
      <c r="H33" s="229"/>
      <c r="L33" s="246"/>
    </row>
    <row r="34" ht="14.25" customHeight="1">
      <c r="A34" s="7"/>
      <c r="B34" s="13" t="s">
        <v>171</v>
      </c>
      <c r="C34" s="238">
        <f>C6</f>
        <v>2083.333333</v>
      </c>
      <c r="D34" s="245">
        <f>F33*D24</f>
        <v>1031.25</v>
      </c>
      <c r="E34" s="238">
        <f t="shared" si="5"/>
        <v>3114.583333</v>
      </c>
      <c r="F34" s="35">
        <f t="shared" si="6"/>
        <v>204166.6667</v>
      </c>
      <c r="H34" s="229"/>
      <c r="I34" s="248" t="s">
        <v>172</v>
      </c>
    </row>
    <row r="35" ht="15.0" customHeight="1">
      <c r="A35" s="7"/>
      <c r="B35" s="13" t="s">
        <v>37</v>
      </c>
      <c r="C35" s="238">
        <f>C6</f>
        <v>2083.333333</v>
      </c>
      <c r="D35" s="245">
        <f>F34*D24</f>
        <v>1020.833333</v>
      </c>
      <c r="E35" s="238">
        <f t="shared" si="5"/>
        <v>3104.166667</v>
      </c>
      <c r="F35" s="35">
        <f t="shared" si="6"/>
        <v>202083.3333</v>
      </c>
      <c r="H35" s="229"/>
      <c r="I35" s="248" t="s">
        <v>99</v>
      </c>
      <c r="K35" s="249"/>
      <c r="L35" s="35"/>
    </row>
    <row r="36" ht="15.0" customHeight="1">
      <c r="A36" s="7"/>
      <c r="B36" s="13" t="s">
        <v>39</v>
      </c>
      <c r="C36" s="238">
        <f>C6</f>
        <v>2083.333333</v>
      </c>
      <c r="D36" s="245">
        <f>F35*D24</f>
        <v>1010.416667</v>
      </c>
      <c r="E36" s="238">
        <f t="shared" si="5"/>
        <v>3093.75</v>
      </c>
      <c r="F36" s="250">
        <f t="shared" si="6"/>
        <v>200000</v>
      </c>
      <c r="H36" s="229"/>
      <c r="I36" s="19">
        <f>I17</f>
        <v>30000</v>
      </c>
      <c r="K36" s="43"/>
      <c r="L36" s="35"/>
    </row>
    <row r="37" ht="15.0" customHeight="1">
      <c r="C37" s="240"/>
      <c r="H37" s="229"/>
      <c r="K37" s="249"/>
      <c r="L37" s="43"/>
    </row>
    <row r="38" ht="18.75" customHeight="1">
      <c r="B38" s="193" t="s">
        <v>159</v>
      </c>
      <c r="C38" s="238">
        <f t="shared" ref="C38:E38" si="7">SUM(C25:C37)</f>
        <v>25000</v>
      </c>
      <c r="D38" s="238">
        <f t="shared" si="7"/>
        <v>12812.5</v>
      </c>
      <c r="E38" s="251">
        <f t="shared" si="7"/>
        <v>37812.5</v>
      </c>
      <c r="F38" s="252">
        <f>E38/I19</f>
        <v>0.47265625</v>
      </c>
      <c r="G38" s="253" t="s">
        <v>173</v>
      </c>
      <c r="H38" s="229"/>
      <c r="I38" s="33">
        <f>I19</f>
        <v>80000</v>
      </c>
      <c r="K38" s="193" t="s">
        <v>174</v>
      </c>
      <c r="L38" s="255">
        <f>L30/K25</f>
        <v>0.47265625</v>
      </c>
    </row>
    <row r="39" ht="15.0" customHeight="1">
      <c r="C39" s="240"/>
      <c r="H39" s="229"/>
      <c r="I39" s="233" t="s">
        <v>175</v>
      </c>
      <c r="K39" s="193" t="s">
        <v>176</v>
      </c>
      <c r="L39" s="246"/>
    </row>
    <row r="40" ht="14.25" customHeight="1">
      <c r="A40" s="229"/>
      <c r="B40" s="229"/>
      <c r="C40" s="256"/>
      <c r="D40" s="229"/>
      <c r="E40" s="229"/>
      <c r="F40" s="229"/>
      <c r="G40" s="229"/>
      <c r="H40" s="229"/>
      <c r="I40" s="229"/>
      <c r="J40" s="229"/>
      <c r="K40" s="229"/>
      <c r="L40" s="229"/>
    </row>
    <row r="41" ht="14.25" customHeight="1">
      <c r="C41" s="240"/>
      <c r="H41" s="229"/>
      <c r="J41" s="11" t="s">
        <v>62</v>
      </c>
      <c r="K41" s="11" t="s">
        <v>161</v>
      </c>
      <c r="L41" s="11" t="s">
        <v>162</v>
      </c>
    </row>
    <row r="42" ht="14.25" customHeight="1">
      <c r="C42" s="240"/>
      <c r="H42" s="229"/>
      <c r="J42" s="232" t="s">
        <v>96</v>
      </c>
      <c r="K42" s="233" t="s">
        <v>62</v>
      </c>
      <c r="L42" s="234" t="s">
        <v>96</v>
      </c>
    </row>
    <row r="43" ht="14.25" customHeight="1">
      <c r="D43" s="235">
        <f>D5</f>
        <v>0.005</v>
      </c>
      <c r="H43" s="229"/>
      <c r="J43" s="35"/>
    </row>
    <row r="44" ht="14.25" customHeight="1">
      <c r="A44" s="7"/>
      <c r="B44" s="13" t="s">
        <v>22</v>
      </c>
      <c r="C44" s="238">
        <f>C6</f>
        <v>2083.333333</v>
      </c>
      <c r="D44" s="237">
        <f>F36*D43</f>
        <v>1000</v>
      </c>
      <c r="E44" s="238">
        <f t="shared" ref="E44:E55" si="9">C44+D44</f>
        <v>3083.333333</v>
      </c>
      <c r="F44" s="35">
        <f>F36-C44</f>
        <v>197916.6667</v>
      </c>
      <c r="H44" s="229"/>
      <c r="J44" s="258">
        <f t="shared" ref="J44:K44" si="8">J6</f>
        <v>0.5</v>
      </c>
      <c r="K44" s="19">
        <f t="shared" si="8"/>
        <v>80000</v>
      </c>
      <c r="L44" s="238">
        <f>J44*K44</f>
        <v>40000</v>
      </c>
    </row>
    <row r="45" ht="14.25" customHeight="1">
      <c r="A45" s="7"/>
      <c r="B45" s="13" t="s">
        <v>166</v>
      </c>
      <c r="C45" s="238">
        <f>C6</f>
        <v>2083.333333</v>
      </c>
      <c r="D45" s="237">
        <f>F44*D43</f>
        <v>989.5833333</v>
      </c>
      <c r="E45" s="238">
        <f t="shared" si="9"/>
        <v>3072.916667</v>
      </c>
      <c r="F45" s="35">
        <f t="shared" ref="F45:F55" si="10">F44-C45</f>
        <v>195833.3333</v>
      </c>
      <c r="H45" s="229"/>
      <c r="J45" s="240"/>
    </row>
    <row r="46" ht="14.25" customHeight="1">
      <c r="A46" s="7"/>
      <c r="B46" s="13" t="s">
        <v>24</v>
      </c>
      <c r="C46" s="238">
        <f>C6</f>
        <v>2083.333333</v>
      </c>
      <c r="D46" s="237">
        <f>F45*D43</f>
        <v>979.1666667</v>
      </c>
      <c r="E46" s="238">
        <f t="shared" si="9"/>
        <v>3062.5</v>
      </c>
      <c r="F46" s="35">
        <f t="shared" si="10"/>
        <v>193750</v>
      </c>
      <c r="H46" s="229"/>
      <c r="L46" s="241" t="s">
        <v>104</v>
      </c>
    </row>
    <row r="47" ht="15.0" customHeight="1">
      <c r="A47" s="7"/>
      <c r="B47" s="13" t="s">
        <v>167</v>
      </c>
      <c r="C47" s="238">
        <f>C6</f>
        <v>2083.333333</v>
      </c>
      <c r="D47" s="237">
        <f>F46*D43</f>
        <v>968.75</v>
      </c>
      <c r="E47" s="238">
        <f t="shared" si="9"/>
        <v>3052.083333</v>
      </c>
      <c r="F47" s="35">
        <f t="shared" si="10"/>
        <v>191666.6667</v>
      </c>
      <c r="H47" s="229"/>
      <c r="J47" s="238"/>
      <c r="K47" s="193" t="s">
        <v>168</v>
      </c>
      <c r="L47" s="238">
        <f>E57</f>
        <v>36312.5</v>
      </c>
    </row>
    <row r="48" ht="14.25" customHeight="1">
      <c r="A48" s="242">
        <v>3.0</v>
      </c>
      <c r="B48" s="13" t="s">
        <v>28</v>
      </c>
      <c r="C48" s="238">
        <f>C6</f>
        <v>2083.333333</v>
      </c>
      <c r="D48" s="237">
        <f>F47*D43</f>
        <v>958.3333333</v>
      </c>
      <c r="E48" s="238">
        <f t="shared" si="9"/>
        <v>3041.666667</v>
      </c>
      <c r="F48" s="35">
        <f t="shared" si="10"/>
        <v>189583.3333</v>
      </c>
      <c r="H48" s="229"/>
      <c r="K48" s="193" t="s">
        <v>169</v>
      </c>
      <c r="L48" s="238" t="str">
        <f>L10</f>
        <v/>
      </c>
    </row>
    <row r="49" ht="14.25" customHeight="1">
      <c r="A49" s="244"/>
      <c r="B49" s="13" t="s">
        <v>31</v>
      </c>
      <c r="C49" s="238">
        <f>C6</f>
        <v>2083.333333</v>
      </c>
      <c r="D49" s="237">
        <f>F48*D43</f>
        <v>947.9166667</v>
      </c>
      <c r="E49" s="238">
        <f t="shared" si="9"/>
        <v>3031.25</v>
      </c>
      <c r="F49" s="35">
        <f t="shared" si="10"/>
        <v>187500</v>
      </c>
      <c r="H49" s="229"/>
      <c r="J49" s="219"/>
      <c r="K49" s="212" t="s">
        <v>159</v>
      </c>
      <c r="L49" s="236">
        <f>L47+L48</f>
        <v>36312.5</v>
      </c>
    </row>
    <row r="50" ht="14.25" customHeight="1">
      <c r="A50" s="244"/>
      <c r="B50" s="13" t="s">
        <v>32</v>
      </c>
      <c r="C50" s="238">
        <f>C6</f>
        <v>2083.333333</v>
      </c>
      <c r="D50" s="245">
        <f>F49*D43</f>
        <v>937.5</v>
      </c>
      <c r="E50" s="238">
        <f t="shared" si="9"/>
        <v>3020.833333</v>
      </c>
      <c r="F50" s="35">
        <f t="shared" si="10"/>
        <v>185416.6667</v>
      </c>
      <c r="H50" s="229"/>
    </row>
    <row r="51" ht="15.0" customHeight="1">
      <c r="A51" s="246"/>
      <c r="B51" s="13" t="s">
        <v>170</v>
      </c>
      <c r="C51" s="238">
        <f>C6</f>
        <v>2083.333333</v>
      </c>
      <c r="D51" s="245">
        <f>F50*D43</f>
        <v>927.0833333</v>
      </c>
      <c r="E51" s="238">
        <f t="shared" si="9"/>
        <v>3010.416667</v>
      </c>
      <c r="F51" s="35">
        <f t="shared" si="10"/>
        <v>183333.3333</v>
      </c>
      <c r="H51" s="229"/>
      <c r="L51" s="247">
        <f>L44-L49</f>
        <v>3687.5</v>
      </c>
    </row>
    <row r="52" ht="15.0" customHeight="1">
      <c r="A52" s="7"/>
      <c r="B52" s="13" t="s">
        <v>35</v>
      </c>
      <c r="C52" s="238">
        <f>C6</f>
        <v>2083.333333</v>
      </c>
      <c r="D52" s="245">
        <f>F51*D43</f>
        <v>916.6666667</v>
      </c>
      <c r="E52" s="238">
        <f t="shared" si="9"/>
        <v>3000</v>
      </c>
      <c r="F52" s="35">
        <f t="shared" si="10"/>
        <v>181250</v>
      </c>
      <c r="H52" s="229"/>
      <c r="L52" s="246"/>
    </row>
    <row r="53" ht="14.25" customHeight="1">
      <c r="A53" s="7"/>
      <c r="B53" s="13" t="s">
        <v>171</v>
      </c>
      <c r="C53" s="238">
        <f>C6</f>
        <v>2083.333333</v>
      </c>
      <c r="D53" s="245">
        <f>F52*D43</f>
        <v>906.25</v>
      </c>
      <c r="E53" s="238">
        <f t="shared" si="9"/>
        <v>2989.583333</v>
      </c>
      <c r="F53" s="35">
        <f t="shared" si="10"/>
        <v>179166.6667</v>
      </c>
      <c r="H53" s="229"/>
      <c r="I53" s="248" t="s">
        <v>172</v>
      </c>
    </row>
    <row r="54" ht="15.0" customHeight="1">
      <c r="A54" s="7"/>
      <c r="B54" s="13" t="s">
        <v>37</v>
      </c>
      <c r="C54" s="238">
        <f>C6</f>
        <v>2083.333333</v>
      </c>
      <c r="D54" s="245">
        <f>F53*D43</f>
        <v>895.8333333</v>
      </c>
      <c r="E54" s="238">
        <f t="shared" si="9"/>
        <v>2979.166667</v>
      </c>
      <c r="F54" s="35">
        <f t="shared" si="10"/>
        <v>177083.3333</v>
      </c>
      <c r="H54" s="229"/>
      <c r="I54" s="248" t="s">
        <v>99</v>
      </c>
      <c r="K54" s="249"/>
      <c r="L54" s="35"/>
    </row>
    <row r="55" ht="15.0" customHeight="1">
      <c r="A55" s="7"/>
      <c r="B55" s="13" t="s">
        <v>39</v>
      </c>
      <c r="C55" s="238">
        <f>C6</f>
        <v>2083.333333</v>
      </c>
      <c r="D55" s="245">
        <f>F54*D43</f>
        <v>885.4166667</v>
      </c>
      <c r="E55" s="238">
        <f t="shared" si="9"/>
        <v>2968.75</v>
      </c>
      <c r="F55" s="250">
        <f t="shared" si="10"/>
        <v>175000</v>
      </c>
      <c r="H55" s="229"/>
      <c r="I55" s="19">
        <f>I17</f>
        <v>30000</v>
      </c>
      <c r="K55" s="43"/>
      <c r="L55" s="35"/>
    </row>
    <row r="56" ht="15.0" customHeight="1">
      <c r="C56" s="240"/>
      <c r="H56" s="229"/>
      <c r="K56" s="249"/>
      <c r="L56" s="43"/>
    </row>
    <row r="57" ht="18.75" customHeight="1">
      <c r="B57" s="193" t="s">
        <v>159</v>
      </c>
      <c r="C57" s="238">
        <f t="shared" ref="C57:E57" si="11">SUM(C44:C56)</f>
        <v>25000</v>
      </c>
      <c r="D57" s="238">
        <f t="shared" si="11"/>
        <v>11312.5</v>
      </c>
      <c r="E57" s="251">
        <f t="shared" si="11"/>
        <v>36312.5</v>
      </c>
      <c r="F57" s="252">
        <f>E57/I19</f>
        <v>0.45390625</v>
      </c>
      <c r="G57" s="253" t="s">
        <v>173</v>
      </c>
      <c r="H57" s="229"/>
      <c r="I57" s="33">
        <f>I19</f>
        <v>80000</v>
      </c>
      <c r="K57" s="193" t="s">
        <v>174</v>
      </c>
      <c r="L57" s="255">
        <f>L49/K44</f>
        <v>0.45390625</v>
      </c>
    </row>
    <row r="58" ht="15.0" customHeight="1">
      <c r="C58" s="240"/>
      <c r="H58" s="229"/>
      <c r="I58" s="233" t="s">
        <v>175</v>
      </c>
      <c r="K58" s="193" t="s">
        <v>176</v>
      </c>
      <c r="L58" s="246"/>
    </row>
    <row r="59" ht="14.25" customHeight="1">
      <c r="A59" s="229"/>
      <c r="B59" s="229"/>
      <c r="C59" s="256"/>
      <c r="D59" s="229"/>
      <c r="E59" s="229"/>
      <c r="F59" s="229"/>
      <c r="G59" s="229"/>
      <c r="H59" s="229"/>
      <c r="I59" s="229"/>
      <c r="J59" s="229"/>
      <c r="K59" s="229"/>
      <c r="L59" s="229"/>
    </row>
    <row r="60" ht="14.25" customHeight="1">
      <c r="C60" s="240"/>
      <c r="H60" s="229"/>
      <c r="J60" s="11" t="s">
        <v>62</v>
      </c>
      <c r="K60" s="11" t="s">
        <v>161</v>
      </c>
      <c r="L60" s="11" t="s">
        <v>162</v>
      </c>
    </row>
    <row r="61" ht="14.25" customHeight="1">
      <c r="C61" s="240"/>
      <c r="H61" s="229"/>
      <c r="J61" s="232" t="s">
        <v>96</v>
      </c>
      <c r="K61" s="233" t="s">
        <v>62</v>
      </c>
      <c r="L61" s="234" t="s">
        <v>96</v>
      </c>
    </row>
    <row r="62" ht="14.25" customHeight="1">
      <c r="D62" s="235">
        <f>D5</f>
        <v>0.005</v>
      </c>
      <c r="H62" s="229"/>
      <c r="J62" s="35"/>
    </row>
    <row r="63" ht="14.25" customHeight="1">
      <c r="A63" s="7"/>
      <c r="B63" s="13" t="s">
        <v>22</v>
      </c>
      <c r="C63" s="238">
        <f>C6</f>
        <v>2083.333333</v>
      </c>
      <c r="D63" s="237">
        <f>F55*D62</f>
        <v>875</v>
      </c>
      <c r="E63" s="238">
        <f t="shared" ref="E63:E74" si="13">C63+D63</f>
        <v>2958.333333</v>
      </c>
      <c r="F63" s="35">
        <f>F55-C63</f>
        <v>172916.6667</v>
      </c>
      <c r="H63" s="229"/>
      <c r="J63" s="258">
        <f t="shared" ref="J63:K63" si="12">J6</f>
        <v>0.5</v>
      </c>
      <c r="K63" s="19">
        <f t="shared" si="12"/>
        <v>80000</v>
      </c>
      <c r="L63" s="238">
        <f>J63*K63</f>
        <v>40000</v>
      </c>
    </row>
    <row r="64" ht="14.25" customHeight="1">
      <c r="A64" s="7"/>
      <c r="B64" s="13" t="s">
        <v>166</v>
      </c>
      <c r="C64" s="238">
        <f>C6</f>
        <v>2083.333333</v>
      </c>
      <c r="D64" s="237">
        <f>F63*D62</f>
        <v>864.5833333</v>
      </c>
      <c r="E64" s="238">
        <f t="shared" si="13"/>
        <v>2947.916667</v>
      </c>
      <c r="F64" s="35">
        <f t="shared" ref="F64:F74" si="14">F63-C64</f>
        <v>170833.3333</v>
      </c>
      <c r="H64" s="229"/>
      <c r="J64" s="240"/>
    </row>
    <row r="65" ht="14.25" customHeight="1">
      <c r="A65" s="7"/>
      <c r="B65" s="13" t="s">
        <v>24</v>
      </c>
      <c r="C65" s="238">
        <f>C6</f>
        <v>2083.333333</v>
      </c>
      <c r="D65" s="237">
        <f>F64*D62</f>
        <v>854.1666667</v>
      </c>
      <c r="E65" s="238">
        <f t="shared" si="13"/>
        <v>2937.5</v>
      </c>
      <c r="F65" s="35">
        <f t="shared" si="14"/>
        <v>168750</v>
      </c>
      <c r="H65" s="229"/>
      <c r="L65" s="241" t="s">
        <v>104</v>
      </c>
    </row>
    <row r="66" ht="15.0" customHeight="1">
      <c r="A66" s="7"/>
      <c r="B66" s="13" t="s">
        <v>167</v>
      </c>
      <c r="C66" s="238">
        <f>C6</f>
        <v>2083.333333</v>
      </c>
      <c r="D66" s="237">
        <f>F65*D62</f>
        <v>843.75</v>
      </c>
      <c r="E66" s="238">
        <f t="shared" si="13"/>
        <v>2927.083333</v>
      </c>
      <c r="F66" s="35">
        <f t="shared" si="14"/>
        <v>166666.6667</v>
      </c>
      <c r="H66" s="229"/>
      <c r="J66" s="238"/>
      <c r="K66" s="193" t="s">
        <v>168</v>
      </c>
      <c r="L66" s="238">
        <f>E76</f>
        <v>34812.5</v>
      </c>
    </row>
    <row r="67" ht="14.25" customHeight="1">
      <c r="A67" s="242">
        <v>4.0</v>
      </c>
      <c r="B67" s="13" t="s">
        <v>28</v>
      </c>
      <c r="C67" s="238">
        <f>C6</f>
        <v>2083.333333</v>
      </c>
      <c r="D67" s="237">
        <f>F66*D62</f>
        <v>833.3333333</v>
      </c>
      <c r="E67" s="238">
        <f t="shared" si="13"/>
        <v>2916.666667</v>
      </c>
      <c r="F67" s="35">
        <f t="shared" si="14"/>
        <v>164583.3333</v>
      </c>
      <c r="H67" s="229"/>
      <c r="K67" s="193" t="s">
        <v>169</v>
      </c>
      <c r="L67" s="238" t="str">
        <f>L10</f>
        <v/>
      </c>
    </row>
    <row r="68" ht="14.25" customHeight="1">
      <c r="A68" s="244"/>
      <c r="B68" s="13" t="s">
        <v>31</v>
      </c>
      <c r="C68" s="238">
        <f>C6</f>
        <v>2083.333333</v>
      </c>
      <c r="D68" s="237">
        <f>F67*D62</f>
        <v>822.9166667</v>
      </c>
      <c r="E68" s="238">
        <f t="shared" si="13"/>
        <v>2906.25</v>
      </c>
      <c r="F68" s="35">
        <f t="shared" si="14"/>
        <v>162500</v>
      </c>
      <c r="H68" s="229"/>
      <c r="J68" s="219"/>
      <c r="K68" s="212" t="s">
        <v>159</v>
      </c>
      <c r="L68" s="236">
        <f>L66+L67</f>
        <v>34812.5</v>
      </c>
    </row>
    <row r="69" ht="14.25" customHeight="1">
      <c r="A69" s="244"/>
      <c r="B69" s="13" t="s">
        <v>32</v>
      </c>
      <c r="C69" s="238">
        <f>C6</f>
        <v>2083.333333</v>
      </c>
      <c r="D69" s="245">
        <f>F68*D62</f>
        <v>812.5</v>
      </c>
      <c r="E69" s="238">
        <f t="shared" si="13"/>
        <v>2895.833333</v>
      </c>
      <c r="F69" s="35">
        <f t="shared" si="14"/>
        <v>160416.6667</v>
      </c>
      <c r="H69" s="229"/>
    </row>
    <row r="70" ht="15.0" customHeight="1">
      <c r="A70" s="246"/>
      <c r="B70" s="13" t="s">
        <v>170</v>
      </c>
      <c r="C70" s="238">
        <f>C6</f>
        <v>2083.333333</v>
      </c>
      <c r="D70" s="245">
        <f>F69*D62</f>
        <v>802.0833333</v>
      </c>
      <c r="E70" s="238">
        <f t="shared" si="13"/>
        <v>2885.416667</v>
      </c>
      <c r="F70" s="35">
        <f t="shared" si="14"/>
        <v>158333.3333</v>
      </c>
      <c r="H70" s="229"/>
      <c r="L70" s="247">
        <f>L63-L68</f>
        <v>5187.5</v>
      </c>
    </row>
    <row r="71" ht="15.0" customHeight="1">
      <c r="A71" s="7"/>
      <c r="B71" s="13" t="s">
        <v>35</v>
      </c>
      <c r="C71" s="238">
        <f>C6</f>
        <v>2083.333333</v>
      </c>
      <c r="D71" s="245">
        <f>F70*D62</f>
        <v>791.6666667</v>
      </c>
      <c r="E71" s="238">
        <f t="shared" si="13"/>
        <v>2875</v>
      </c>
      <c r="F71" s="35">
        <f t="shared" si="14"/>
        <v>156250</v>
      </c>
      <c r="H71" s="229"/>
      <c r="L71" s="246"/>
    </row>
    <row r="72" ht="14.25" customHeight="1">
      <c r="A72" s="7"/>
      <c r="B72" s="13" t="s">
        <v>171</v>
      </c>
      <c r="C72" s="238">
        <f>C6</f>
        <v>2083.333333</v>
      </c>
      <c r="D72" s="245">
        <f>F71*D62</f>
        <v>781.25</v>
      </c>
      <c r="E72" s="238">
        <f t="shared" si="13"/>
        <v>2864.583333</v>
      </c>
      <c r="F72" s="35">
        <f t="shared" si="14"/>
        <v>154166.6667</v>
      </c>
      <c r="H72" s="229"/>
      <c r="I72" s="248" t="s">
        <v>172</v>
      </c>
    </row>
    <row r="73" ht="15.0" customHeight="1">
      <c r="A73" s="7"/>
      <c r="B73" s="13" t="s">
        <v>37</v>
      </c>
      <c r="C73" s="238">
        <f>C6</f>
        <v>2083.333333</v>
      </c>
      <c r="D73" s="245">
        <f>F72*D62</f>
        <v>770.8333333</v>
      </c>
      <c r="E73" s="238">
        <f t="shared" si="13"/>
        <v>2854.166667</v>
      </c>
      <c r="F73" s="35">
        <f t="shared" si="14"/>
        <v>152083.3333</v>
      </c>
      <c r="H73" s="229"/>
      <c r="I73" s="248" t="s">
        <v>99</v>
      </c>
      <c r="K73" s="249"/>
      <c r="L73" s="35"/>
    </row>
    <row r="74" ht="15.0" customHeight="1">
      <c r="A74" s="7"/>
      <c r="B74" s="13" t="s">
        <v>39</v>
      </c>
      <c r="C74" s="238">
        <f>C6</f>
        <v>2083.333333</v>
      </c>
      <c r="D74" s="245">
        <f>F73*D62</f>
        <v>760.4166667</v>
      </c>
      <c r="E74" s="238">
        <f t="shared" si="13"/>
        <v>2843.75</v>
      </c>
      <c r="F74" s="250">
        <f t="shared" si="14"/>
        <v>150000</v>
      </c>
      <c r="H74" s="229"/>
      <c r="I74" s="19">
        <f>I17</f>
        <v>30000</v>
      </c>
      <c r="K74" s="43"/>
      <c r="L74" s="35"/>
    </row>
    <row r="75" ht="15.0" customHeight="1">
      <c r="C75" s="240"/>
      <c r="H75" s="229"/>
      <c r="K75" s="249"/>
      <c r="L75" s="43"/>
    </row>
    <row r="76" ht="18.75" customHeight="1">
      <c r="B76" s="193" t="s">
        <v>159</v>
      </c>
      <c r="C76" s="238">
        <f t="shared" ref="C76:E76" si="15">SUM(C63:C75)</f>
        <v>25000</v>
      </c>
      <c r="D76" s="238">
        <f t="shared" si="15"/>
        <v>9812.5</v>
      </c>
      <c r="E76" s="251">
        <f t="shared" si="15"/>
        <v>34812.5</v>
      </c>
      <c r="F76" s="252">
        <f>E76/I19</f>
        <v>0.43515625</v>
      </c>
      <c r="G76" s="253" t="s">
        <v>173</v>
      </c>
      <c r="H76" s="229"/>
      <c r="I76" s="33">
        <f>I19</f>
        <v>80000</v>
      </c>
      <c r="K76" s="193" t="s">
        <v>174</v>
      </c>
      <c r="L76" s="255">
        <f>L68/K63</f>
        <v>0.43515625</v>
      </c>
    </row>
    <row r="77" ht="15.0" customHeight="1">
      <c r="H77" s="229"/>
      <c r="I77" s="233" t="s">
        <v>175</v>
      </c>
      <c r="K77" s="193" t="s">
        <v>176</v>
      </c>
      <c r="L77" s="246"/>
    </row>
    <row r="78" ht="14.25" customHeight="1">
      <c r="A78" s="229"/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</row>
    <row r="79" ht="14.25" customHeight="1">
      <c r="H79" s="229"/>
      <c r="J79" s="11" t="s">
        <v>62</v>
      </c>
      <c r="K79" s="11" t="s">
        <v>161</v>
      </c>
      <c r="L79" s="11" t="s">
        <v>162</v>
      </c>
    </row>
    <row r="80" ht="14.25" customHeight="1">
      <c r="H80" s="229"/>
      <c r="J80" s="232" t="s">
        <v>96</v>
      </c>
      <c r="K80" s="233" t="s">
        <v>62</v>
      </c>
      <c r="L80" s="234" t="s">
        <v>96</v>
      </c>
    </row>
    <row r="81" ht="14.25" customHeight="1">
      <c r="D81" s="235">
        <f>D5</f>
        <v>0.005</v>
      </c>
      <c r="H81" s="229"/>
      <c r="J81" s="35"/>
    </row>
    <row r="82" ht="14.25" customHeight="1">
      <c r="A82" s="7"/>
      <c r="B82" s="13" t="s">
        <v>22</v>
      </c>
      <c r="C82" s="238">
        <f>C6</f>
        <v>2083.333333</v>
      </c>
      <c r="D82" s="237">
        <f>F74*D81</f>
        <v>750</v>
      </c>
      <c r="E82" s="238">
        <f t="shared" ref="E82:E93" si="17">C82+D82</f>
        <v>2833.333333</v>
      </c>
      <c r="F82" s="35">
        <f>F74-C82</f>
        <v>147916.6667</v>
      </c>
      <c r="H82" s="229"/>
      <c r="J82" s="258">
        <f t="shared" ref="J82:K82" si="16">J6</f>
        <v>0.5</v>
      </c>
      <c r="K82" s="19">
        <f t="shared" si="16"/>
        <v>80000</v>
      </c>
      <c r="L82" s="238">
        <f>J82*K82</f>
        <v>40000</v>
      </c>
    </row>
    <row r="83" ht="14.25" customHeight="1">
      <c r="A83" s="7"/>
      <c r="B83" s="13" t="s">
        <v>166</v>
      </c>
      <c r="C83" s="238">
        <f>C6</f>
        <v>2083.333333</v>
      </c>
      <c r="D83" s="237">
        <f>F82*D81</f>
        <v>739.5833333</v>
      </c>
      <c r="E83" s="238">
        <f t="shared" si="17"/>
        <v>2822.916667</v>
      </c>
      <c r="F83" s="35">
        <f t="shared" ref="F83:F93" si="18">F82-C83</f>
        <v>145833.3333</v>
      </c>
      <c r="H83" s="229"/>
      <c r="J83" s="240"/>
    </row>
    <row r="84" ht="14.25" customHeight="1">
      <c r="A84" s="7"/>
      <c r="B84" s="13" t="s">
        <v>24</v>
      </c>
      <c r="C84" s="238">
        <f>C6</f>
        <v>2083.333333</v>
      </c>
      <c r="D84" s="237">
        <f>F83*D81</f>
        <v>729.1666667</v>
      </c>
      <c r="E84" s="238">
        <f t="shared" si="17"/>
        <v>2812.5</v>
      </c>
      <c r="F84" s="35">
        <f t="shared" si="18"/>
        <v>143750</v>
      </c>
      <c r="H84" s="229"/>
      <c r="L84" s="241" t="s">
        <v>104</v>
      </c>
    </row>
    <row r="85" ht="15.0" customHeight="1">
      <c r="A85" s="7"/>
      <c r="B85" s="13" t="s">
        <v>167</v>
      </c>
      <c r="C85" s="238">
        <f>C6</f>
        <v>2083.333333</v>
      </c>
      <c r="D85" s="237">
        <f>F84*D81</f>
        <v>718.75</v>
      </c>
      <c r="E85" s="238">
        <f t="shared" si="17"/>
        <v>2802.083333</v>
      </c>
      <c r="F85" s="35">
        <f t="shared" si="18"/>
        <v>141666.6667</v>
      </c>
      <c r="H85" s="229"/>
      <c r="J85" s="238"/>
      <c r="K85" s="193" t="s">
        <v>168</v>
      </c>
      <c r="L85" s="238">
        <f>E95</f>
        <v>33312.5</v>
      </c>
    </row>
    <row r="86" ht="14.25" customHeight="1">
      <c r="A86" s="242">
        <v>5.0</v>
      </c>
      <c r="B86" s="13" t="s">
        <v>28</v>
      </c>
      <c r="C86" s="238">
        <f>C6</f>
        <v>2083.333333</v>
      </c>
      <c r="D86" s="237">
        <f>F85*D81</f>
        <v>708.3333333</v>
      </c>
      <c r="E86" s="238">
        <f t="shared" si="17"/>
        <v>2791.666667</v>
      </c>
      <c r="F86" s="35">
        <f t="shared" si="18"/>
        <v>139583.3333</v>
      </c>
      <c r="H86" s="229"/>
      <c r="K86" s="193" t="s">
        <v>169</v>
      </c>
      <c r="L86" s="238" t="str">
        <f>L10</f>
        <v/>
      </c>
    </row>
    <row r="87" ht="14.25" customHeight="1">
      <c r="A87" s="244"/>
      <c r="B87" s="13" t="s">
        <v>31</v>
      </c>
      <c r="C87" s="238">
        <f>C6</f>
        <v>2083.333333</v>
      </c>
      <c r="D87" s="237">
        <f>F86*D81</f>
        <v>697.9166667</v>
      </c>
      <c r="E87" s="238">
        <f t="shared" si="17"/>
        <v>2781.25</v>
      </c>
      <c r="F87" s="35">
        <f t="shared" si="18"/>
        <v>137500</v>
      </c>
      <c r="H87" s="229"/>
      <c r="J87" s="219"/>
      <c r="K87" s="212" t="s">
        <v>159</v>
      </c>
      <c r="L87" s="236">
        <f>L85+L86</f>
        <v>33312.5</v>
      </c>
    </row>
    <row r="88" ht="14.25" customHeight="1">
      <c r="A88" s="244"/>
      <c r="B88" s="13" t="s">
        <v>32</v>
      </c>
      <c r="C88" s="238">
        <f>C6</f>
        <v>2083.333333</v>
      </c>
      <c r="D88" s="245">
        <f>F87*D81</f>
        <v>687.5</v>
      </c>
      <c r="E88" s="238">
        <f t="shared" si="17"/>
        <v>2770.833333</v>
      </c>
      <c r="F88" s="35">
        <f t="shared" si="18"/>
        <v>135416.6667</v>
      </c>
      <c r="H88" s="229"/>
    </row>
    <row r="89" ht="15.0" customHeight="1">
      <c r="A89" s="246"/>
      <c r="B89" s="13" t="s">
        <v>170</v>
      </c>
      <c r="C89" s="238">
        <f>C6</f>
        <v>2083.333333</v>
      </c>
      <c r="D89" s="245">
        <f>F88*D81</f>
        <v>677.0833333</v>
      </c>
      <c r="E89" s="238">
        <f t="shared" si="17"/>
        <v>2760.416667</v>
      </c>
      <c r="F89" s="35">
        <f t="shared" si="18"/>
        <v>133333.3333</v>
      </c>
      <c r="H89" s="229"/>
      <c r="L89" s="247">
        <f>L82-L87</f>
        <v>6687.5</v>
      </c>
    </row>
    <row r="90" ht="15.0" customHeight="1">
      <c r="A90" s="7"/>
      <c r="B90" s="13" t="s">
        <v>35</v>
      </c>
      <c r="C90" s="238">
        <f>C6</f>
        <v>2083.333333</v>
      </c>
      <c r="D90" s="245">
        <f>F89*D81</f>
        <v>666.6666667</v>
      </c>
      <c r="E90" s="238">
        <f t="shared" si="17"/>
        <v>2750</v>
      </c>
      <c r="F90" s="35">
        <f t="shared" si="18"/>
        <v>131250</v>
      </c>
      <c r="H90" s="229"/>
      <c r="L90" s="246"/>
    </row>
    <row r="91" ht="14.25" customHeight="1">
      <c r="A91" s="7"/>
      <c r="B91" s="13" t="s">
        <v>171</v>
      </c>
      <c r="C91" s="238">
        <f>C6</f>
        <v>2083.333333</v>
      </c>
      <c r="D91" s="245">
        <f>F90*D81</f>
        <v>656.25</v>
      </c>
      <c r="E91" s="238">
        <f t="shared" si="17"/>
        <v>2739.583333</v>
      </c>
      <c r="F91" s="35">
        <f t="shared" si="18"/>
        <v>129166.6667</v>
      </c>
      <c r="H91" s="229"/>
      <c r="I91" s="248" t="s">
        <v>172</v>
      </c>
    </row>
    <row r="92" ht="15.0" customHeight="1">
      <c r="A92" s="7"/>
      <c r="B92" s="13" t="s">
        <v>37</v>
      </c>
      <c r="C92" s="238">
        <f>C6</f>
        <v>2083.333333</v>
      </c>
      <c r="D92" s="245">
        <f>F91*D81</f>
        <v>645.8333333</v>
      </c>
      <c r="E92" s="238">
        <f t="shared" si="17"/>
        <v>2729.166667</v>
      </c>
      <c r="F92" s="35">
        <f t="shared" si="18"/>
        <v>127083.3333</v>
      </c>
      <c r="H92" s="229"/>
      <c r="I92" s="248" t="s">
        <v>99</v>
      </c>
      <c r="K92" s="249"/>
      <c r="L92" s="35"/>
    </row>
    <row r="93" ht="15.0" customHeight="1">
      <c r="A93" s="7"/>
      <c r="B93" s="13" t="s">
        <v>39</v>
      </c>
      <c r="C93" s="238">
        <f>C6</f>
        <v>2083.333333</v>
      </c>
      <c r="D93" s="245">
        <f>F92*D81</f>
        <v>635.4166667</v>
      </c>
      <c r="E93" s="238">
        <f t="shared" si="17"/>
        <v>2718.75</v>
      </c>
      <c r="F93" s="250">
        <f t="shared" si="18"/>
        <v>125000</v>
      </c>
      <c r="H93" s="229"/>
      <c r="I93" s="19">
        <f>I17</f>
        <v>30000</v>
      </c>
      <c r="K93" s="43"/>
      <c r="L93" s="35"/>
    </row>
    <row r="94" ht="15.0" customHeight="1">
      <c r="C94" s="240"/>
      <c r="H94" s="229"/>
      <c r="K94" s="249"/>
      <c r="L94" s="43"/>
    </row>
    <row r="95" ht="18.75" customHeight="1">
      <c r="B95" s="193" t="s">
        <v>159</v>
      </c>
      <c r="C95" s="238">
        <f t="shared" ref="C95:E95" si="19">SUM(C82:C94)</f>
        <v>25000</v>
      </c>
      <c r="D95" s="238">
        <f t="shared" si="19"/>
        <v>8312.5</v>
      </c>
      <c r="E95" s="251">
        <f t="shared" si="19"/>
        <v>33312.5</v>
      </c>
      <c r="F95" s="252">
        <f>E95/I19</f>
        <v>0.41640625</v>
      </c>
      <c r="G95" s="253" t="s">
        <v>173</v>
      </c>
      <c r="H95" s="229"/>
      <c r="I95" s="33">
        <f>I19</f>
        <v>80000</v>
      </c>
      <c r="K95" s="193" t="s">
        <v>174</v>
      </c>
      <c r="L95" s="255">
        <f>L87/K82</f>
        <v>0.41640625</v>
      </c>
    </row>
    <row r="96" ht="15.0" customHeight="1">
      <c r="H96" s="229"/>
      <c r="I96" s="233" t="s">
        <v>175</v>
      </c>
      <c r="K96" s="193" t="s">
        <v>176</v>
      </c>
      <c r="L96" s="246"/>
    </row>
    <row r="97" ht="14.25" customHeight="1">
      <c r="A97" s="229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</row>
    <row r="98" ht="14.25" customHeight="1">
      <c r="H98" s="229"/>
      <c r="J98" s="11" t="s">
        <v>62</v>
      </c>
      <c r="K98" s="11" t="s">
        <v>161</v>
      </c>
      <c r="L98" s="11" t="s">
        <v>162</v>
      </c>
    </row>
    <row r="99" ht="14.25" customHeight="1">
      <c r="H99" s="229"/>
      <c r="J99" s="232" t="s">
        <v>96</v>
      </c>
      <c r="K99" s="233" t="s">
        <v>62</v>
      </c>
      <c r="L99" s="234" t="s">
        <v>96</v>
      </c>
    </row>
    <row r="100" ht="14.25" customHeight="1">
      <c r="D100" s="235">
        <f>D5</f>
        <v>0.005</v>
      </c>
      <c r="H100" s="229"/>
      <c r="J100" s="35"/>
    </row>
    <row r="101" ht="14.25" customHeight="1">
      <c r="A101" s="7"/>
      <c r="B101" s="13" t="s">
        <v>22</v>
      </c>
      <c r="C101" s="238">
        <f>C6</f>
        <v>2083.333333</v>
      </c>
      <c r="D101" s="237">
        <f>F93*D100</f>
        <v>625</v>
      </c>
      <c r="E101" s="238">
        <f t="shared" ref="E101:E112" si="21">C101+D101</f>
        <v>2708.333333</v>
      </c>
      <c r="F101" s="35">
        <f>F93-C101</f>
        <v>122916.6667</v>
      </c>
      <c r="H101" s="229"/>
      <c r="J101" s="258">
        <f t="shared" ref="J101:K101" si="20">J6</f>
        <v>0.5</v>
      </c>
      <c r="K101" s="19">
        <f t="shared" si="20"/>
        <v>80000</v>
      </c>
      <c r="L101" s="238">
        <f>J101*K101</f>
        <v>40000</v>
      </c>
    </row>
    <row r="102" ht="14.25" customHeight="1">
      <c r="A102" s="7"/>
      <c r="B102" s="13" t="s">
        <v>166</v>
      </c>
      <c r="C102" s="238">
        <f>C6</f>
        <v>2083.333333</v>
      </c>
      <c r="D102" s="237">
        <f>F101*D100</f>
        <v>614.5833333</v>
      </c>
      <c r="E102" s="238">
        <f t="shared" si="21"/>
        <v>2697.916667</v>
      </c>
      <c r="F102" s="35">
        <f t="shared" ref="F102:F112" si="22">F101-C102</f>
        <v>120833.3333</v>
      </c>
      <c r="H102" s="229"/>
      <c r="J102" s="240"/>
    </row>
    <row r="103" ht="14.25" customHeight="1">
      <c r="A103" s="7"/>
      <c r="B103" s="13" t="s">
        <v>24</v>
      </c>
      <c r="C103" s="238">
        <f>C6</f>
        <v>2083.333333</v>
      </c>
      <c r="D103" s="237">
        <f>F102*D100</f>
        <v>604.1666667</v>
      </c>
      <c r="E103" s="238">
        <f t="shared" si="21"/>
        <v>2687.5</v>
      </c>
      <c r="F103" s="35">
        <f t="shared" si="22"/>
        <v>118750</v>
      </c>
      <c r="H103" s="229"/>
      <c r="L103" s="241" t="s">
        <v>104</v>
      </c>
    </row>
    <row r="104" ht="15.0" customHeight="1">
      <c r="A104" s="7"/>
      <c r="B104" s="13" t="s">
        <v>167</v>
      </c>
      <c r="C104" s="238">
        <f>C6</f>
        <v>2083.333333</v>
      </c>
      <c r="D104" s="237">
        <f>F103*D100</f>
        <v>593.75</v>
      </c>
      <c r="E104" s="238">
        <f t="shared" si="21"/>
        <v>2677.083333</v>
      </c>
      <c r="F104" s="35">
        <f t="shared" si="22"/>
        <v>116666.6667</v>
      </c>
      <c r="H104" s="229"/>
      <c r="J104" s="238"/>
      <c r="K104" s="193" t="s">
        <v>168</v>
      </c>
      <c r="L104" s="238">
        <f>E114</f>
        <v>31812.5</v>
      </c>
    </row>
    <row r="105" ht="14.25" customHeight="1">
      <c r="A105" s="242">
        <v>6.0</v>
      </c>
      <c r="B105" s="13" t="s">
        <v>28</v>
      </c>
      <c r="C105" s="238">
        <f>C6</f>
        <v>2083.333333</v>
      </c>
      <c r="D105" s="237">
        <f>F104*D100</f>
        <v>583.3333333</v>
      </c>
      <c r="E105" s="238">
        <f t="shared" si="21"/>
        <v>2666.666667</v>
      </c>
      <c r="F105" s="35">
        <f t="shared" si="22"/>
        <v>114583.3333</v>
      </c>
      <c r="H105" s="229"/>
      <c r="K105" s="193" t="s">
        <v>169</v>
      </c>
      <c r="L105" s="238" t="str">
        <f>L10</f>
        <v/>
      </c>
    </row>
    <row r="106" ht="14.25" customHeight="1">
      <c r="A106" s="244"/>
      <c r="B106" s="13" t="s">
        <v>31</v>
      </c>
      <c r="C106" s="238">
        <f>C6</f>
        <v>2083.333333</v>
      </c>
      <c r="D106" s="237">
        <f>F105*D100</f>
        <v>572.9166667</v>
      </c>
      <c r="E106" s="238">
        <f t="shared" si="21"/>
        <v>2656.25</v>
      </c>
      <c r="F106" s="35">
        <f t="shared" si="22"/>
        <v>112500</v>
      </c>
      <c r="H106" s="229"/>
      <c r="J106" s="219"/>
      <c r="K106" s="212" t="s">
        <v>159</v>
      </c>
      <c r="L106" s="236">
        <f>L104+L105</f>
        <v>31812.5</v>
      </c>
    </row>
    <row r="107" ht="14.25" customHeight="1">
      <c r="A107" s="244"/>
      <c r="B107" s="13" t="s">
        <v>32</v>
      </c>
      <c r="C107" s="238">
        <f>C6</f>
        <v>2083.333333</v>
      </c>
      <c r="D107" s="245">
        <f>F106*D100</f>
        <v>562.5</v>
      </c>
      <c r="E107" s="238">
        <f t="shared" si="21"/>
        <v>2645.833333</v>
      </c>
      <c r="F107" s="35">
        <f t="shared" si="22"/>
        <v>110416.6667</v>
      </c>
      <c r="H107" s="229"/>
    </row>
    <row r="108" ht="15.0" customHeight="1">
      <c r="A108" s="246"/>
      <c r="B108" s="13" t="s">
        <v>170</v>
      </c>
      <c r="C108" s="238">
        <f>C6</f>
        <v>2083.333333</v>
      </c>
      <c r="D108" s="245">
        <f>F107*D100</f>
        <v>552.0833333</v>
      </c>
      <c r="E108" s="238">
        <f t="shared" si="21"/>
        <v>2635.416667</v>
      </c>
      <c r="F108" s="35">
        <f t="shared" si="22"/>
        <v>108333.3333</v>
      </c>
      <c r="H108" s="229"/>
      <c r="L108" s="247">
        <f>L101-L106</f>
        <v>8187.5</v>
      </c>
    </row>
    <row r="109" ht="15.0" customHeight="1">
      <c r="A109" s="7"/>
      <c r="B109" s="13" t="s">
        <v>35</v>
      </c>
      <c r="C109" s="238">
        <f>C6</f>
        <v>2083.333333</v>
      </c>
      <c r="D109" s="245">
        <f>F108*D100</f>
        <v>541.6666667</v>
      </c>
      <c r="E109" s="238">
        <f t="shared" si="21"/>
        <v>2625</v>
      </c>
      <c r="F109" s="35">
        <f t="shared" si="22"/>
        <v>106250</v>
      </c>
      <c r="H109" s="229"/>
      <c r="L109" s="246"/>
    </row>
    <row r="110" ht="14.25" customHeight="1">
      <c r="A110" s="7"/>
      <c r="B110" s="13" t="s">
        <v>171</v>
      </c>
      <c r="C110" s="238">
        <f>C6</f>
        <v>2083.333333</v>
      </c>
      <c r="D110" s="245">
        <f>F109*D100</f>
        <v>531.25</v>
      </c>
      <c r="E110" s="238">
        <f t="shared" si="21"/>
        <v>2614.583333</v>
      </c>
      <c r="F110" s="35">
        <f t="shared" si="22"/>
        <v>104166.6667</v>
      </c>
      <c r="H110" s="229"/>
      <c r="I110" s="248" t="s">
        <v>172</v>
      </c>
    </row>
    <row r="111" ht="15.0" customHeight="1">
      <c r="A111" s="7"/>
      <c r="B111" s="13" t="s">
        <v>37</v>
      </c>
      <c r="C111" s="238">
        <f>C6</f>
        <v>2083.333333</v>
      </c>
      <c r="D111" s="245">
        <f>F110*D100</f>
        <v>520.8333333</v>
      </c>
      <c r="E111" s="238">
        <f t="shared" si="21"/>
        <v>2604.166667</v>
      </c>
      <c r="F111" s="35">
        <f t="shared" si="22"/>
        <v>102083.3333</v>
      </c>
      <c r="H111" s="229"/>
      <c r="I111" s="248" t="s">
        <v>99</v>
      </c>
      <c r="K111" s="249"/>
      <c r="L111" s="35"/>
    </row>
    <row r="112" ht="15.0" customHeight="1">
      <c r="A112" s="7"/>
      <c r="B112" s="13" t="s">
        <v>39</v>
      </c>
      <c r="C112" s="238">
        <f>C6</f>
        <v>2083.333333</v>
      </c>
      <c r="D112" s="245">
        <f>F111*D100</f>
        <v>510.4166667</v>
      </c>
      <c r="E112" s="238">
        <f t="shared" si="21"/>
        <v>2593.75</v>
      </c>
      <c r="F112" s="250">
        <f t="shared" si="22"/>
        <v>100000</v>
      </c>
      <c r="H112" s="229"/>
      <c r="I112" s="19">
        <f>I17</f>
        <v>30000</v>
      </c>
      <c r="K112" s="43"/>
      <c r="L112" s="35"/>
    </row>
    <row r="113" ht="15.0" customHeight="1">
      <c r="C113" s="240"/>
      <c r="H113" s="229"/>
      <c r="K113" s="249"/>
      <c r="L113" s="43"/>
    </row>
    <row r="114" ht="18.75" customHeight="1">
      <c r="B114" s="193" t="s">
        <v>159</v>
      </c>
      <c r="C114" s="238">
        <f t="shared" ref="C114:E114" si="23">SUM(C101:C113)</f>
        <v>25000</v>
      </c>
      <c r="D114" s="238">
        <f t="shared" si="23"/>
        <v>6812.5</v>
      </c>
      <c r="E114" s="251">
        <f t="shared" si="23"/>
        <v>31812.5</v>
      </c>
      <c r="F114" s="252">
        <f>E114/I19</f>
        <v>0.39765625</v>
      </c>
      <c r="G114" s="253" t="s">
        <v>173</v>
      </c>
      <c r="H114" s="229"/>
      <c r="I114" s="33">
        <f>I19</f>
        <v>80000</v>
      </c>
      <c r="K114" s="193" t="s">
        <v>174</v>
      </c>
      <c r="L114" s="255">
        <f>L106/K101</f>
        <v>0.39765625</v>
      </c>
    </row>
    <row r="115" ht="15.0" customHeight="1">
      <c r="H115" s="229"/>
      <c r="I115" s="233" t="s">
        <v>175</v>
      </c>
      <c r="K115" s="193" t="s">
        <v>176</v>
      </c>
      <c r="L115" s="246"/>
    </row>
    <row r="116" ht="14.25" customHeight="1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</row>
    <row r="117" ht="14.25" customHeight="1">
      <c r="H117" s="229"/>
      <c r="J117" s="11" t="s">
        <v>62</v>
      </c>
      <c r="K117" s="11" t="s">
        <v>161</v>
      </c>
      <c r="L117" s="11" t="s">
        <v>162</v>
      </c>
    </row>
    <row r="118" ht="14.25" customHeight="1">
      <c r="H118" s="229"/>
      <c r="J118" s="232" t="s">
        <v>96</v>
      </c>
      <c r="K118" s="233" t="s">
        <v>62</v>
      </c>
      <c r="L118" s="234" t="s">
        <v>96</v>
      </c>
    </row>
    <row r="119" ht="14.25" customHeight="1">
      <c r="D119" s="235">
        <f>D5</f>
        <v>0.005</v>
      </c>
      <c r="H119" s="229"/>
      <c r="J119" s="35"/>
    </row>
    <row r="120" ht="14.25" customHeight="1">
      <c r="A120" s="7"/>
      <c r="B120" s="13" t="s">
        <v>22</v>
      </c>
      <c r="C120" s="238">
        <f>C6</f>
        <v>2083.333333</v>
      </c>
      <c r="D120" s="237">
        <f>F112*D119</f>
        <v>500</v>
      </c>
      <c r="E120" s="238">
        <f t="shared" ref="E120:E131" si="25">C120+D120</f>
        <v>2583.333333</v>
      </c>
      <c r="F120" s="35">
        <f>F112-C120</f>
        <v>97916.66667</v>
      </c>
      <c r="H120" s="229"/>
      <c r="J120" s="258">
        <f t="shared" ref="J120:K120" si="24">J6</f>
        <v>0.5</v>
      </c>
      <c r="K120" s="19">
        <f t="shared" si="24"/>
        <v>80000</v>
      </c>
      <c r="L120" s="238">
        <f>J120*K120</f>
        <v>40000</v>
      </c>
    </row>
    <row r="121" ht="14.25" customHeight="1">
      <c r="A121" s="7"/>
      <c r="B121" s="13" t="s">
        <v>166</v>
      </c>
      <c r="C121" s="238">
        <f>C6</f>
        <v>2083.333333</v>
      </c>
      <c r="D121" s="237">
        <f>F120*D119</f>
        <v>489.5833333</v>
      </c>
      <c r="E121" s="238">
        <f t="shared" si="25"/>
        <v>2572.916667</v>
      </c>
      <c r="F121" s="35">
        <f t="shared" ref="F121:F131" si="26">F120-C121</f>
        <v>95833.33333</v>
      </c>
      <c r="H121" s="229"/>
      <c r="J121" s="240"/>
    </row>
    <row r="122" ht="14.25" customHeight="1">
      <c r="A122" s="7"/>
      <c r="B122" s="13" t="s">
        <v>24</v>
      </c>
      <c r="C122" s="238">
        <f>C6</f>
        <v>2083.333333</v>
      </c>
      <c r="D122" s="237">
        <f>F121*D119</f>
        <v>479.1666667</v>
      </c>
      <c r="E122" s="238">
        <f t="shared" si="25"/>
        <v>2562.5</v>
      </c>
      <c r="F122" s="35">
        <f t="shared" si="26"/>
        <v>93750</v>
      </c>
      <c r="H122" s="229"/>
      <c r="L122" s="241" t="s">
        <v>104</v>
      </c>
    </row>
    <row r="123" ht="15.0" customHeight="1">
      <c r="A123" s="7"/>
      <c r="B123" s="13" t="s">
        <v>167</v>
      </c>
      <c r="C123" s="238">
        <f>C6</f>
        <v>2083.333333</v>
      </c>
      <c r="D123" s="237">
        <f>F122*D119</f>
        <v>468.75</v>
      </c>
      <c r="E123" s="238">
        <f t="shared" si="25"/>
        <v>2552.083333</v>
      </c>
      <c r="F123" s="35">
        <f t="shared" si="26"/>
        <v>91666.66667</v>
      </c>
      <c r="H123" s="229"/>
      <c r="J123" s="238"/>
      <c r="K123" s="193" t="s">
        <v>168</v>
      </c>
      <c r="L123" s="238">
        <f>E133</f>
        <v>30312.5</v>
      </c>
    </row>
    <row r="124" ht="14.25" customHeight="1">
      <c r="A124" s="242">
        <v>7.0</v>
      </c>
      <c r="B124" s="13" t="s">
        <v>28</v>
      </c>
      <c r="C124" s="238">
        <f>C6</f>
        <v>2083.333333</v>
      </c>
      <c r="D124" s="237">
        <f>F123*D119</f>
        <v>458.3333333</v>
      </c>
      <c r="E124" s="238">
        <f t="shared" si="25"/>
        <v>2541.666667</v>
      </c>
      <c r="F124" s="35">
        <f t="shared" si="26"/>
        <v>89583.33333</v>
      </c>
      <c r="H124" s="229"/>
      <c r="K124" s="193" t="s">
        <v>169</v>
      </c>
      <c r="L124" s="238" t="str">
        <f>L10</f>
        <v/>
      </c>
    </row>
    <row r="125" ht="14.25" customHeight="1">
      <c r="A125" s="244"/>
      <c r="B125" s="13" t="s">
        <v>31</v>
      </c>
      <c r="C125" s="238">
        <f>C6</f>
        <v>2083.333333</v>
      </c>
      <c r="D125" s="237">
        <f>F124*D119</f>
        <v>447.9166667</v>
      </c>
      <c r="E125" s="238">
        <f t="shared" si="25"/>
        <v>2531.25</v>
      </c>
      <c r="F125" s="35">
        <f t="shared" si="26"/>
        <v>87500</v>
      </c>
      <c r="H125" s="229"/>
      <c r="J125" s="219"/>
      <c r="K125" s="212" t="s">
        <v>159</v>
      </c>
      <c r="L125" s="236">
        <f>L123+L124</f>
        <v>30312.5</v>
      </c>
    </row>
    <row r="126" ht="14.25" customHeight="1">
      <c r="A126" s="244"/>
      <c r="B126" s="13" t="s">
        <v>32</v>
      </c>
      <c r="C126" s="238">
        <f>C6</f>
        <v>2083.333333</v>
      </c>
      <c r="D126" s="245">
        <f>F125*D119</f>
        <v>437.5</v>
      </c>
      <c r="E126" s="238">
        <f t="shared" si="25"/>
        <v>2520.833333</v>
      </c>
      <c r="F126" s="35">
        <f t="shared" si="26"/>
        <v>85416.66667</v>
      </c>
      <c r="H126" s="229"/>
    </row>
    <row r="127" ht="15.0" customHeight="1">
      <c r="A127" s="246"/>
      <c r="B127" s="13" t="s">
        <v>170</v>
      </c>
      <c r="C127" s="238">
        <f>C6</f>
        <v>2083.333333</v>
      </c>
      <c r="D127" s="245">
        <f>F126*D119</f>
        <v>427.0833333</v>
      </c>
      <c r="E127" s="238">
        <f t="shared" si="25"/>
        <v>2510.416667</v>
      </c>
      <c r="F127" s="35">
        <f t="shared" si="26"/>
        <v>83333.33333</v>
      </c>
      <c r="H127" s="229"/>
      <c r="L127" s="247">
        <f>L120-L125</f>
        <v>9687.5</v>
      </c>
    </row>
    <row r="128" ht="15.0" customHeight="1">
      <c r="A128" s="7"/>
      <c r="B128" s="13" t="s">
        <v>35</v>
      </c>
      <c r="C128" s="238">
        <f>C6</f>
        <v>2083.333333</v>
      </c>
      <c r="D128" s="245">
        <f>F127*D119</f>
        <v>416.6666667</v>
      </c>
      <c r="E128" s="238">
        <f t="shared" si="25"/>
        <v>2500</v>
      </c>
      <c r="F128" s="35">
        <f t="shared" si="26"/>
        <v>81250</v>
      </c>
      <c r="H128" s="229"/>
      <c r="L128" s="246"/>
    </row>
    <row r="129" ht="14.25" customHeight="1">
      <c r="A129" s="7"/>
      <c r="B129" s="13" t="s">
        <v>171</v>
      </c>
      <c r="C129" s="238">
        <f>C6</f>
        <v>2083.333333</v>
      </c>
      <c r="D129" s="245">
        <f>F128*D119</f>
        <v>406.25</v>
      </c>
      <c r="E129" s="238">
        <f t="shared" si="25"/>
        <v>2489.583333</v>
      </c>
      <c r="F129" s="35">
        <f t="shared" si="26"/>
        <v>79166.66667</v>
      </c>
      <c r="H129" s="229"/>
      <c r="I129" s="248" t="s">
        <v>172</v>
      </c>
    </row>
    <row r="130" ht="15.0" customHeight="1">
      <c r="A130" s="7"/>
      <c r="B130" s="13" t="s">
        <v>37</v>
      </c>
      <c r="C130" s="238">
        <f>C6</f>
        <v>2083.333333</v>
      </c>
      <c r="D130" s="245">
        <f>F129*D119</f>
        <v>395.8333333</v>
      </c>
      <c r="E130" s="238">
        <f t="shared" si="25"/>
        <v>2479.166667</v>
      </c>
      <c r="F130" s="35">
        <f t="shared" si="26"/>
        <v>77083.33333</v>
      </c>
      <c r="H130" s="229"/>
      <c r="I130" s="248" t="s">
        <v>99</v>
      </c>
      <c r="K130" s="249"/>
      <c r="L130" s="35"/>
    </row>
    <row r="131" ht="15.0" customHeight="1">
      <c r="A131" s="7"/>
      <c r="B131" s="13" t="s">
        <v>39</v>
      </c>
      <c r="C131" s="238">
        <f>C6</f>
        <v>2083.333333</v>
      </c>
      <c r="D131" s="245">
        <f>F130*D119</f>
        <v>385.4166667</v>
      </c>
      <c r="E131" s="238">
        <f t="shared" si="25"/>
        <v>2468.75</v>
      </c>
      <c r="F131" s="250">
        <f t="shared" si="26"/>
        <v>75000</v>
      </c>
      <c r="H131" s="229"/>
      <c r="I131" s="19">
        <f>I17</f>
        <v>30000</v>
      </c>
      <c r="K131" s="43"/>
      <c r="L131" s="35"/>
    </row>
    <row r="132" ht="15.0" customHeight="1">
      <c r="C132" s="240"/>
      <c r="H132" s="229"/>
      <c r="K132" s="249"/>
      <c r="L132" s="43"/>
    </row>
    <row r="133" ht="18.75" customHeight="1">
      <c r="B133" s="193" t="s">
        <v>159</v>
      </c>
      <c r="C133" s="238">
        <f t="shared" ref="C133:E133" si="27">SUM(C120:C132)</f>
        <v>25000</v>
      </c>
      <c r="D133" s="238">
        <f t="shared" si="27"/>
        <v>5312.5</v>
      </c>
      <c r="E133" s="251">
        <f t="shared" si="27"/>
        <v>30312.5</v>
      </c>
      <c r="F133" s="252">
        <f>E133/I19</f>
        <v>0.37890625</v>
      </c>
      <c r="G133" s="253" t="s">
        <v>173</v>
      </c>
      <c r="H133" s="229"/>
      <c r="I133" s="33">
        <f>I19</f>
        <v>80000</v>
      </c>
      <c r="K133" s="193" t="s">
        <v>174</v>
      </c>
      <c r="L133" s="255">
        <f>L125/K120</f>
        <v>0.37890625</v>
      </c>
    </row>
    <row r="134" ht="15.0" customHeight="1">
      <c r="H134" s="229"/>
      <c r="I134" s="233" t="s">
        <v>175</v>
      </c>
      <c r="K134" s="193" t="s">
        <v>176</v>
      </c>
      <c r="L134" s="246"/>
    </row>
    <row r="135" ht="14.25" customHeight="1">
      <c r="A135" s="229"/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</row>
    <row r="136" ht="14.25" customHeight="1">
      <c r="H136" s="229"/>
      <c r="J136" s="11" t="s">
        <v>62</v>
      </c>
      <c r="K136" s="11" t="s">
        <v>161</v>
      </c>
      <c r="L136" s="11" t="s">
        <v>162</v>
      </c>
    </row>
    <row r="137" ht="14.25" customHeight="1">
      <c r="H137" s="229"/>
      <c r="J137" s="232" t="s">
        <v>96</v>
      </c>
      <c r="K137" s="233" t="s">
        <v>62</v>
      </c>
      <c r="L137" s="234" t="s">
        <v>96</v>
      </c>
    </row>
    <row r="138" ht="14.25" customHeight="1">
      <c r="D138" s="235">
        <f>D5</f>
        <v>0.005</v>
      </c>
      <c r="H138" s="229"/>
      <c r="J138" s="35"/>
    </row>
    <row r="139" ht="14.25" customHeight="1">
      <c r="A139" s="7"/>
      <c r="B139" s="13" t="s">
        <v>22</v>
      </c>
      <c r="C139" s="238">
        <f>C6</f>
        <v>2083.333333</v>
      </c>
      <c r="D139" s="237">
        <f>F131*D138</f>
        <v>375</v>
      </c>
      <c r="E139" s="238">
        <f t="shared" ref="E139:E150" si="29">C139+D139</f>
        <v>2458.333333</v>
      </c>
      <c r="F139" s="35">
        <f>F131-C139</f>
        <v>72916.66667</v>
      </c>
      <c r="H139" s="229"/>
      <c r="J139" s="258">
        <f t="shared" ref="J139:K139" si="28">J6</f>
        <v>0.5</v>
      </c>
      <c r="K139" s="19">
        <f t="shared" si="28"/>
        <v>80000</v>
      </c>
      <c r="L139" s="238">
        <f>J139*K139</f>
        <v>40000</v>
      </c>
    </row>
    <row r="140" ht="14.25" customHeight="1">
      <c r="A140" s="7"/>
      <c r="B140" s="13" t="s">
        <v>166</v>
      </c>
      <c r="C140" s="238">
        <f>C6</f>
        <v>2083.333333</v>
      </c>
      <c r="D140" s="237">
        <f>F139*D138</f>
        <v>364.5833333</v>
      </c>
      <c r="E140" s="238">
        <f t="shared" si="29"/>
        <v>2447.916667</v>
      </c>
      <c r="F140" s="35">
        <f t="shared" ref="F140:F150" si="30">F139-C140</f>
        <v>70833.33333</v>
      </c>
      <c r="H140" s="229"/>
      <c r="J140" s="240"/>
    </row>
    <row r="141" ht="14.25" customHeight="1">
      <c r="A141" s="7"/>
      <c r="B141" s="13" t="s">
        <v>24</v>
      </c>
      <c r="C141" s="238">
        <f>C6</f>
        <v>2083.333333</v>
      </c>
      <c r="D141" s="237">
        <f>F140*D138</f>
        <v>354.1666667</v>
      </c>
      <c r="E141" s="238">
        <f t="shared" si="29"/>
        <v>2437.5</v>
      </c>
      <c r="F141" s="35">
        <f t="shared" si="30"/>
        <v>68750</v>
      </c>
      <c r="H141" s="229"/>
      <c r="L141" s="241" t="s">
        <v>104</v>
      </c>
    </row>
    <row r="142" ht="15.0" customHeight="1">
      <c r="A142" s="7"/>
      <c r="B142" s="13" t="s">
        <v>167</v>
      </c>
      <c r="C142" s="238">
        <f>C6</f>
        <v>2083.333333</v>
      </c>
      <c r="D142" s="237">
        <f>F141*D138</f>
        <v>343.75</v>
      </c>
      <c r="E142" s="238">
        <f t="shared" si="29"/>
        <v>2427.083333</v>
      </c>
      <c r="F142" s="35">
        <f t="shared" si="30"/>
        <v>66666.66667</v>
      </c>
      <c r="H142" s="229"/>
      <c r="J142" s="238"/>
      <c r="K142" s="193" t="s">
        <v>168</v>
      </c>
      <c r="L142" s="238">
        <f>E152</f>
        <v>28812.5</v>
      </c>
    </row>
    <row r="143" ht="14.25" customHeight="1">
      <c r="A143" s="242">
        <v>8.0</v>
      </c>
      <c r="B143" s="13" t="s">
        <v>28</v>
      </c>
      <c r="C143" s="238">
        <f>C6</f>
        <v>2083.333333</v>
      </c>
      <c r="D143" s="237">
        <f>F142*D138</f>
        <v>333.3333333</v>
      </c>
      <c r="E143" s="238">
        <f t="shared" si="29"/>
        <v>2416.666667</v>
      </c>
      <c r="F143" s="35">
        <f t="shared" si="30"/>
        <v>64583.33333</v>
      </c>
      <c r="H143" s="229"/>
      <c r="K143" s="193" t="s">
        <v>169</v>
      </c>
      <c r="L143" s="238" t="str">
        <f>L10</f>
        <v/>
      </c>
    </row>
    <row r="144" ht="14.25" customHeight="1">
      <c r="A144" s="244"/>
      <c r="B144" s="13" t="s">
        <v>31</v>
      </c>
      <c r="C144" s="238">
        <f>C6</f>
        <v>2083.333333</v>
      </c>
      <c r="D144" s="237">
        <f>F143*D138</f>
        <v>322.9166667</v>
      </c>
      <c r="E144" s="238">
        <f t="shared" si="29"/>
        <v>2406.25</v>
      </c>
      <c r="F144" s="35">
        <f t="shared" si="30"/>
        <v>62500</v>
      </c>
      <c r="H144" s="229"/>
      <c r="J144" s="219"/>
      <c r="K144" s="212" t="s">
        <v>159</v>
      </c>
      <c r="L144" s="236">
        <f>L142+L143</f>
        <v>28812.5</v>
      </c>
    </row>
    <row r="145" ht="14.25" customHeight="1">
      <c r="A145" s="244"/>
      <c r="B145" s="13" t="s">
        <v>32</v>
      </c>
      <c r="C145" s="238">
        <f>C6</f>
        <v>2083.333333</v>
      </c>
      <c r="D145" s="245">
        <f>F144*D138</f>
        <v>312.5</v>
      </c>
      <c r="E145" s="238">
        <f t="shared" si="29"/>
        <v>2395.833333</v>
      </c>
      <c r="F145" s="35">
        <f t="shared" si="30"/>
        <v>60416.66667</v>
      </c>
      <c r="H145" s="229"/>
    </row>
    <row r="146" ht="15.0" customHeight="1">
      <c r="A146" s="246"/>
      <c r="B146" s="13" t="s">
        <v>170</v>
      </c>
      <c r="C146" s="238">
        <f>C6</f>
        <v>2083.333333</v>
      </c>
      <c r="D146" s="245">
        <f>F145*D138</f>
        <v>302.0833333</v>
      </c>
      <c r="E146" s="238">
        <f t="shared" si="29"/>
        <v>2385.416667</v>
      </c>
      <c r="F146" s="35">
        <f t="shared" si="30"/>
        <v>58333.33333</v>
      </c>
      <c r="H146" s="229"/>
      <c r="L146" s="247">
        <f>L139-L144</f>
        <v>11187.5</v>
      </c>
    </row>
    <row r="147" ht="15.0" customHeight="1">
      <c r="A147" s="7"/>
      <c r="B147" s="13" t="s">
        <v>35</v>
      </c>
      <c r="C147" s="238">
        <f>C6</f>
        <v>2083.333333</v>
      </c>
      <c r="D147" s="245">
        <f>F146*D138</f>
        <v>291.6666667</v>
      </c>
      <c r="E147" s="238">
        <f t="shared" si="29"/>
        <v>2375</v>
      </c>
      <c r="F147" s="35">
        <f t="shared" si="30"/>
        <v>56250</v>
      </c>
      <c r="H147" s="229"/>
      <c r="L147" s="246"/>
    </row>
    <row r="148" ht="14.25" customHeight="1">
      <c r="A148" s="7"/>
      <c r="B148" s="13" t="s">
        <v>171</v>
      </c>
      <c r="C148" s="238">
        <f>C6</f>
        <v>2083.333333</v>
      </c>
      <c r="D148" s="245">
        <f>F147*D138</f>
        <v>281.25</v>
      </c>
      <c r="E148" s="238">
        <f t="shared" si="29"/>
        <v>2364.583333</v>
      </c>
      <c r="F148" s="35">
        <f t="shared" si="30"/>
        <v>54166.66667</v>
      </c>
      <c r="H148" s="229"/>
      <c r="I148" s="248" t="s">
        <v>172</v>
      </c>
    </row>
    <row r="149" ht="15.0" customHeight="1">
      <c r="A149" s="7"/>
      <c r="B149" s="13" t="s">
        <v>37</v>
      </c>
      <c r="C149" s="238">
        <f>C6</f>
        <v>2083.333333</v>
      </c>
      <c r="D149" s="245">
        <f>F148*D138</f>
        <v>270.8333333</v>
      </c>
      <c r="E149" s="238">
        <f t="shared" si="29"/>
        <v>2354.166667</v>
      </c>
      <c r="F149" s="35">
        <f t="shared" si="30"/>
        <v>52083.33333</v>
      </c>
      <c r="H149" s="229"/>
      <c r="I149" s="248" t="s">
        <v>99</v>
      </c>
      <c r="K149" s="249"/>
      <c r="L149" s="35"/>
    </row>
    <row r="150" ht="15.0" customHeight="1">
      <c r="A150" s="7"/>
      <c r="B150" s="13" t="s">
        <v>39</v>
      </c>
      <c r="C150" s="238">
        <f>C6</f>
        <v>2083.333333</v>
      </c>
      <c r="D150" s="245">
        <f>F149*D138</f>
        <v>260.4166667</v>
      </c>
      <c r="E150" s="238">
        <f t="shared" si="29"/>
        <v>2343.75</v>
      </c>
      <c r="F150" s="250">
        <f t="shared" si="30"/>
        <v>50000</v>
      </c>
      <c r="H150" s="229"/>
      <c r="I150" s="19">
        <f>I17</f>
        <v>30000</v>
      </c>
      <c r="K150" s="43"/>
      <c r="L150" s="35"/>
    </row>
    <row r="151" ht="15.0" customHeight="1">
      <c r="C151" s="240"/>
      <c r="H151" s="229"/>
      <c r="K151" s="249"/>
      <c r="L151" s="43"/>
    </row>
    <row r="152" ht="18.75" customHeight="1">
      <c r="B152" s="193" t="s">
        <v>159</v>
      </c>
      <c r="C152" s="238">
        <f t="shared" ref="C152:E152" si="31">SUM(C139:C151)</f>
        <v>25000</v>
      </c>
      <c r="D152" s="238">
        <f t="shared" si="31"/>
        <v>3812.5</v>
      </c>
      <c r="E152" s="251">
        <f t="shared" si="31"/>
        <v>28812.5</v>
      </c>
      <c r="F152" s="252">
        <f>E152/I19</f>
        <v>0.36015625</v>
      </c>
      <c r="G152" s="253" t="s">
        <v>173</v>
      </c>
      <c r="H152" s="229"/>
      <c r="I152" s="33">
        <f>I19</f>
        <v>80000</v>
      </c>
      <c r="K152" s="193" t="s">
        <v>174</v>
      </c>
      <c r="L152" s="255">
        <f>L144/K139</f>
        <v>0.36015625</v>
      </c>
    </row>
    <row r="153" ht="15.0" customHeight="1">
      <c r="H153" s="229"/>
      <c r="I153" s="233" t="s">
        <v>175</v>
      </c>
      <c r="K153" s="193" t="s">
        <v>176</v>
      </c>
      <c r="L153" s="246"/>
    </row>
    <row r="154" ht="14.25" customHeight="1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</row>
    <row r="155" ht="14.25" customHeight="1">
      <c r="H155" s="229"/>
      <c r="J155" s="11" t="s">
        <v>62</v>
      </c>
      <c r="K155" s="11" t="s">
        <v>161</v>
      </c>
      <c r="L155" s="11" t="s">
        <v>162</v>
      </c>
    </row>
    <row r="156" ht="14.25" customHeight="1">
      <c r="H156" s="229"/>
      <c r="J156" s="232" t="s">
        <v>96</v>
      </c>
      <c r="K156" s="233" t="s">
        <v>62</v>
      </c>
      <c r="L156" s="234" t="s">
        <v>96</v>
      </c>
    </row>
    <row r="157" ht="14.25" customHeight="1">
      <c r="D157" s="235">
        <f>D24</f>
        <v>0.005</v>
      </c>
      <c r="H157" s="229"/>
      <c r="J157" s="35"/>
    </row>
    <row r="158" ht="14.25" customHeight="1">
      <c r="A158" s="7"/>
      <c r="B158" s="13" t="s">
        <v>22</v>
      </c>
      <c r="C158" s="238">
        <f>C6</f>
        <v>2083.333333</v>
      </c>
      <c r="D158" s="237">
        <f>F150*D157</f>
        <v>250</v>
      </c>
      <c r="E158" s="238">
        <f t="shared" ref="E158:E169" si="33">C158+D158</f>
        <v>2333.333333</v>
      </c>
      <c r="F158" s="35">
        <f>F150-C158</f>
        <v>47916.66667</v>
      </c>
      <c r="H158" s="229"/>
      <c r="J158" s="258">
        <f t="shared" ref="J158:K158" si="32">J6</f>
        <v>0.5</v>
      </c>
      <c r="K158" s="19">
        <f t="shared" si="32"/>
        <v>80000</v>
      </c>
      <c r="L158" s="238">
        <f>J158*K158</f>
        <v>40000</v>
      </c>
    </row>
    <row r="159" ht="14.25" customHeight="1">
      <c r="A159" s="7"/>
      <c r="B159" s="13" t="s">
        <v>166</v>
      </c>
      <c r="C159" s="238">
        <f>C6</f>
        <v>2083.333333</v>
      </c>
      <c r="D159" s="237">
        <f>F158*D157</f>
        <v>239.5833333</v>
      </c>
      <c r="E159" s="238">
        <f t="shared" si="33"/>
        <v>2322.916667</v>
      </c>
      <c r="F159" s="35">
        <f t="shared" ref="F159:F169" si="34">F158-C159</f>
        <v>45833.33333</v>
      </c>
      <c r="H159" s="229"/>
      <c r="J159" s="240"/>
    </row>
    <row r="160" ht="14.25" customHeight="1">
      <c r="A160" s="7"/>
      <c r="B160" s="13" t="s">
        <v>24</v>
      </c>
      <c r="C160" s="238">
        <f>C6</f>
        <v>2083.333333</v>
      </c>
      <c r="D160" s="237">
        <f>F159*D157</f>
        <v>229.1666667</v>
      </c>
      <c r="E160" s="238">
        <f t="shared" si="33"/>
        <v>2312.5</v>
      </c>
      <c r="F160" s="35">
        <f t="shared" si="34"/>
        <v>43750</v>
      </c>
      <c r="H160" s="229"/>
      <c r="L160" s="241" t="s">
        <v>104</v>
      </c>
    </row>
    <row r="161" ht="15.0" customHeight="1">
      <c r="A161" s="7"/>
      <c r="B161" s="13" t="s">
        <v>167</v>
      </c>
      <c r="C161" s="238">
        <f>C6</f>
        <v>2083.333333</v>
      </c>
      <c r="D161" s="237">
        <f>F160*D157</f>
        <v>218.75</v>
      </c>
      <c r="E161" s="238">
        <f t="shared" si="33"/>
        <v>2302.083333</v>
      </c>
      <c r="F161" s="35">
        <f t="shared" si="34"/>
        <v>41666.66667</v>
      </c>
      <c r="H161" s="229"/>
      <c r="J161" s="238"/>
      <c r="K161" s="193" t="s">
        <v>168</v>
      </c>
      <c r="L161" s="238">
        <f>E171</f>
        <v>27312.5</v>
      </c>
    </row>
    <row r="162" ht="14.25" customHeight="1">
      <c r="A162" s="242">
        <v>9.0</v>
      </c>
      <c r="B162" s="13" t="s">
        <v>28</v>
      </c>
      <c r="C162" s="238">
        <f>C6</f>
        <v>2083.333333</v>
      </c>
      <c r="D162" s="237">
        <f>F161*D157</f>
        <v>208.3333333</v>
      </c>
      <c r="E162" s="238">
        <f t="shared" si="33"/>
        <v>2291.666667</v>
      </c>
      <c r="F162" s="35">
        <f t="shared" si="34"/>
        <v>39583.33333</v>
      </c>
      <c r="H162" s="229"/>
      <c r="K162" s="193" t="s">
        <v>169</v>
      </c>
      <c r="L162" s="238" t="str">
        <f>L10</f>
        <v/>
      </c>
    </row>
    <row r="163" ht="14.25" customHeight="1">
      <c r="A163" s="244"/>
      <c r="B163" s="13" t="s">
        <v>31</v>
      </c>
      <c r="C163" s="238">
        <f>C6</f>
        <v>2083.333333</v>
      </c>
      <c r="D163" s="237">
        <f>F162*D157</f>
        <v>197.9166667</v>
      </c>
      <c r="E163" s="238">
        <f t="shared" si="33"/>
        <v>2281.25</v>
      </c>
      <c r="F163" s="35">
        <f t="shared" si="34"/>
        <v>37500</v>
      </c>
      <c r="H163" s="229"/>
      <c r="J163" s="219"/>
      <c r="K163" s="212" t="s">
        <v>159</v>
      </c>
      <c r="L163" s="236">
        <f>L161+L162</f>
        <v>27312.5</v>
      </c>
    </row>
    <row r="164" ht="14.25" customHeight="1">
      <c r="A164" s="244"/>
      <c r="B164" s="13" t="s">
        <v>32</v>
      </c>
      <c r="C164" s="238">
        <f>C6</f>
        <v>2083.333333</v>
      </c>
      <c r="D164" s="245">
        <f>F163*D157</f>
        <v>187.5</v>
      </c>
      <c r="E164" s="238">
        <f t="shared" si="33"/>
        <v>2270.833333</v>
      </c>
      <c r="F164" s="35">
        <f t="shared" si="34"/>
        <v>35416.66667</v>
      </c>
      <c r="H164" s="229"/>
    </row>
    <row r="165" ht="15.0" customHeight="1">
      <c r="A165" s="246"/>
      <c r="B165" s="13" t="s">
        <v>170</v>
      </c>
      <c r="C165" s="238">
        <f>C6</f>
        <v>2083.333333</v>
      </c>
      <c r="D165" s="245">
        <f>F164*D157</f>
        <v>177.0833333</v>
      </c>
      <c r="E165" s="238">
        <f t="shared" si="33"/>
        <v>2260.416667</v>
      </c>
      <c r="F165" s="35">
        <f t="shared" si="34"/>
        <v>33333.33333</v>
      </c>
      <c r="H165" s="229"/>
      <c r="L165" s="247">
        <f>L158-L163</f>
        <v>12687.5</v>
      </c>
    </row>
    <row r="166" ht="15.0" customHeight="1">
      <c r="A166" s="7"/>
      <c r="B166" s="13" t="s">
        <v>35</v>
      </c>
      <c r="C166" s="238">
        <f>C6</f>
        <v>2083.333333</v>
      </c>
      <c r="D166" s="245">
        <f>F165*D157</f>
        <v>166.6666667</v>
      </c>
      <c r="E166" s="238">
        <f t="shared" si="33"/>
        <v>2250</v>
      </c>
      <c r="F166" s="35">
        <f t="shared" si="34"/>
        <v>31250</v>
      </c>
      <c r="H166" s="229"/>
      <c r="L166" s="246"/>
    </row>
    <row r="167" ht="14.25" customHeight="1">
      <c r="A167" s="7"/>
      <c r="B167" s="13" t="s">
        <v>171</v>
      </c>
      <c r="C167" s="238">
        <f>C6</f>
        <v>2083.333333</v>
      </c>
      <c r="D167" s="245">
        <f>F166*D157</f>
        <v>156.25</v>
      </c>
      <c r="E167" s="238">
        <f t="shared" si="33"/>
        <v>2239.583333</v>
      </c>
      <c r="F167" s="35">
        <f t="shared" si="34"/>
        <v>29166.66667</v>
      </c>
      <c r="H167" s="229"/>
      <c r="I167" s="248" t="s">
        <v>172</v>
      </c>
    </row>
    <row r="168" ht="15.0" customHeight="1">
      <c r="A168" s="7"/>
      <c r="B168" s="13" t="s">
        <v>37</v>
      </c>
      <c r="C168" s="238">
        <f>C6</f>
        <v>2083.333333</v>
      </c>
      <c r="D168" s="245">
        <f>F167*D157</f>
        <v>145.8333333</v>
      </c>
      <c r="E168" s="238">
        <f t="shared" si="33"/>
        <v>2229.166667</v>
      </c>
      <c r="F168" s="35">
        <f t="shared" si="34"/>
        <v>27083.33333</v>
      </c>
      <c r="H168" s="229"/>
      <c r="I168" s="248" t="s">
        <v>99</v>
      </c>
      <c r="K168" s="249"/>
      <c r="L168" s="35"/>
    </row>
    <row r="169" ht="15.0" customHeight="1">
      <c r="A169" s="7"/>
      <c r="B169" s="13" t="s">
        <v>39</v>
      </c>
      <c r="C169" s="238">
        <f>C6</f>
        <v>2083.333333</v>
      </c>
      <c r="D169" s="245">
        <f>F168*D157</f>
        <v>135.4166667</v>
      </c>
      <c r="E169" s="238">
        <f t="shared" si="33"/>
        <v>2218.75</v>
      </c>
      <c r="F169" s="250">
        <f t="shared" si="34"/>
        <v>25000</v>
      </c>
      <c r="H169" s="229"/>
      <c r="I169" s="19">
        <f>I17</f>
        <v>30000</v>
      </c>
      <c r="K169" s="43"/>
      <c r="L169" s="35"/>
    </row>
    <row r="170" ht="14.25" customHeight="1">
      <c r="C170" s="240"/>
      <c r="H170" s="229"/>
      <c r="K170" s="249"/>
      <c r="L170" s="43"/>
    </row>
    <row r="171" ht="18.75" customHeight="1">
      <c r="B171" s="193" t="s">
        <v>159</v>
      </c>
      <c r="C171" s="238">
        <f t="shared" ref="C171:E171" si="35">SUM(C158:C170)</f>
        <v>25000</v>
      </c>
      <c r="D171" s="238">
        <f t="shared" si="35"/>
        <v>2312.5</v>
      </c>
      <c r="E171" s="251">
        <f t="shared" si="35"/>
        <v>27312.5</v>
      </c>
      <c r="F171" s="252">
        <f>E171/I19</f>
        <v>0.34140625</v>
      </c>
      <c r="G171" s="253" t="s">
        <v>173</v>
      </c>
      <c r="H171" s="229"/>
      <c r="I171" s="33">
        <f>I19</f>
        <v>80000</v>
      </c>
      <c r="K171" s="193" t="s">
        <v>174</v>
      </c>
      <c r="L171" s="255">
        <f>L163/K158</f>
        <v>0.34140625</v>
      </c>
    </row>
    <row r="172" ht="15.0" customHeight="1">
      <c r="H172" s="229"/>
      <c r="I172" s="233" t="s">
        <v>175</v>
      </c>
      <c r="K172" s="193" t="s">
        <v>176</v>
      </c>
      <c r="L172" s="246"/>
    </row>
    <row r="173" ht="14.25" customHeight="1">
      <c r="A173" s="229"/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</row>
    <row r="174" ht="14.25" customHeight="1">
      <c r="H174" s="229"/>
      <c r="J174" s="11" t="s">
        <v>62</v>
      </c>
      <c r="K174" s="11" t="s">
        <v>161</v>
      </c>
      <c r="L174" s="11" t="s">
        <v>162</v>
      </c>
    </row>
    <row r="175" ht="14.25" customHeight="1">
      <c r="H175" s="229"/>
      <c r="J175" s="232" t="s">
        <v>96</v>
      </c>
      <c r="K175" s="233" t="s">
        <v>62</v>
      </c>
      <c r="L175" s="234" t="s">
        <v>96</v>
      </c>
    </row>
    <row r="176" ht="14.25" customHeight="1">
      <c r="D176" s="235">
        <f>D43</f>
        <v>0.005</v>
      </c>
      <c r="H176" s="229"/>
      <c r="J176" s="35"/>
    </row>
    <row r="177" ht="14.25" customHeight="1">
      <c r="A177" s="7"/>
      <c r="B177" s="13" t="s">
        <v>22</v>
      </c>
      <c r="C177" s="238">
        <f>C6</f>
        <v>2083.333333</v>
      </c>
      <c r="D177" s="237">
        <f>F169*D176</f>
        <v>125</v>
      </c>
      <c r="E177" s="238">
        <f t="shared" ref="E177:E188" si="37">C177+D177</f>
        <v>2208.333333</v>
      </c>
      <c r="F177" s="35">
        <f>F169-C177</f>
        <v>22916.66667</v>
      </c>
      <c r="H177" s="229"/>
      <c r="J177" s="258">
        <f t="shared" ref="J177:K177" si="36">J6</f>
        <v>0.5</v>
      </c>
      <c r="K177" s="19">
        <f t="shared" si="36"/>
        <v>80000</v>
      </c>
      <c r="L177" s="238">
        <f>J177*K177</f>
        <v>40000</v>
      </c>
    </row>
    <row r="178" ht="14.25" customHeight="1">
      <c r="A178" s="7"/>
      <c r="B178" s="13" t="s">
        <v>166</v>
      </c>
      <c r="C178" s="238">
        <f>C6</f>
        <v>2083.333333</v>
      </c>
      <c r="D178" s="237">
        <f>F177*D176</f>
        <v>114.5833333</v>
      </c>
      <c r="E178" s="238">
        <f t="shared" si="37"/>
        <v>2197.916667</v>
      </c>
      <c r="F178" s="35">
        <f t="shared" ref="F178:F188" si="38">F177-C178</f>
        <v>20833.33333</v>
      </c>
      <c r="H178" s="229"/>
      <c r="J178" s="240"/>
    </row>
    <row r="179" ht="14.25" customHeight="1">
      <c r="A179" s="7"/>
      <c r="B179" s="13" t="s">
        <v>24</v>
      </c>
      <c r="C179" s="238">
        <f>C6</f>
        <v>2083.333333</v>
      </c>
      <c r="D179" s="237">
        <f>F178*D176</f>
        <v>104.1666667</v>
      </c>
      <c r="E179" s="238">
        <f t="shared" si="37"/>
        <v>2187.5</v>
      </c>
      <c r="F179" s="35">
        <f t="shared" si="38"/>
        <v>18750</v>
      </c>
      <c r="H179" s="229"/>
      <c r="L179" s="241" t="s">
        <v>104</v>
      </c>
    </row>
    <row r="180" ht="15.0" customHeight="1">
      <c r="A180" s="7"/>
      <c r="B180" s="13" t="s">
        <v>167</v>
      </c>
      <c r="C180" s="238">
        <f>C6</f>
        <v>2083.333333</v>
      </c>
      <c r="D180" s="237">
        <f>F179*D176</f>
        <v>93.75</v>
      </c>
      <c r="E180" s="238">
        <f t="shared" si="37"/>
        <v>2177.083333</v>
      </c>
      <c r="F180" s="35">
        <f t="shared" si="38"/>
        <v>16666.66667</v>
      </c>
      <c r="H180" s="229"/>
      <c r="J180" s="238"/>
      <c r="K180" s="193" t="s">
        <v>168</v>
      </c>
      <c r="L180" s="238">
        <f>E190</f>
        <v>25812.5</v>
      </c>
    </row>
    <row r="181" ht="14.25" customHeight="1">
      <c r="A181" s="242">
        <v>10.0</v>
      </c>
      <c r="B181" s="13" t="s">
        <v>28</v>
      </c>
      <c r="C181" s="238">
        <f>C6</f>
        <v>2083.333333</v>
      </c>
      <c r="D181" s="237">
        <f>F180*D176</f>
        <v>83.33333333</v>
      </c>
      <c r="E181" s="238">
        <f t="shared" si="37"/>
        <v>2166.666667</v>
      </c>
      <c r="F181" s="35">
        <f t="shared" si="38"/>
        <v>14583.33333</v>
      </c>
      <c r="H181" s="229"/>
      <c r="K181" s="193" t="s">
        <v>169</v>
      </c>
      <c r="L181" s="238" t="str">
        <f>L10</f>
        <v/>
      </c>
    </row>
    <row r="182" ht="14.25" customHeight="1">
      <c r="A182" s="244"/>
      <c r="B182" s="13" t="s">
        <v>31</v>
      </c>
      <c r="C182" s="238">
        <f>C6</f>
        <v>2083.333333</v>
      </c>
      <c r="D182" s="237">
        <f>F181*D176</f>
        <v>72.91666667</v>
      </c>
      <c r="E182" s="238">
        <f t="shared" si="37"/>
        <v>2156.25</v>
      </c>
      <c r="F182" s="35">
        <f t="shared" si="38"/>
        <v>12500</v>
      </c>
      <c r="H182" s="229"/>
      <c r="J182" s="219"/>
      <c r="K182" s="212" t="s">
        <v>159</v>
      </c>
      <c r="L182" s="236">
        <f>L180+L181</f>
        <v>25812.5</v>
      </c>
    </row>
    <row r="183" ht="14.25" customHeight="1">
      <c r="A183" s="244"/>
      <c r="B183" s="13" t="s">
        <v>32</v>
      </c>
      <c r="C183" s="238">
        <f>C6</f>
        <v>2083.333333</v>
      </c>
      <c r="D183" s="245">
        <f>F182*D176</f>
        <v>62.5</v>
      </c>
      <c r="E183" s="238">
        <f t="shared" si="37"/>
        <v>2145.833333</v>
      </c>
      <c r="F183" s="35">
        <f t="shared" si="38"/>
        <v>10416.66667</v>
      </c>
      <c r="H183" s="229"/>
    </row>
    <row r="184" ht="15.0" customHeight="1">
      <c r="A184" s="246"/>
      <c r="B184" s="13" t="s">
        <v>170</v>
      </c>
      <c r="C184" s="238">
        <f>C6</f>
        <v>2083.333333</v>
      </c>
      <c r="D184" s="245">
        <f>F183*D176</f>
        <v>52.08333333</v>
      </c>
      <c r="E184" s="238">
        <f t="shared" si="37"/>
        <v>2135.416667</v>
      </c>
      <c r="F184" s="35">
        <f t="shared" si="38"/>
        <v>8333.333333</v>
      </c>
      <c r="H184" s="229"/>
      <c r="L184" s="247">
        <f>L177-L182</f>
        <v>14187.5</v>
      </c>
    </row>
    <row r="185" ht="15.0" customHeight="1">
      <c r="A185" s="7"/>
      <c r="B185" s="13" t="s">
        <v>35</v>
      </c>
      <c r="C185" s="238">
        <f>C6</f>
        <v>2083.333333</v>
      </c>
      <c r="D185" s="245">
        <f>F184*D176</f>
        <v>41.66666667</v>
      </c>
      <c r="E185" s="238">
        <f t="shared" si="37"/>
        <v>2125</v>
      </c>
      <c r="F185" s="35">
        <f t="shared" si="38"/>
        <v>6250</v>
      </c>
      <c r="H185" s="229"/>
      <c r="L185" s="246"/>
    </row>
    <row r="186" ht="14.25" customHeight="1">
      <c r="A186" s="7"/>
      <c r="B186" s="13" t="s">
        <v>171</v>
      </c>
      <c r="C186" s="238">
        <f>C6</f>
        <v>2083.333333</v>
      </c>
      <c r="D186" s="245">
        <f>F185*D176</f>
        <v>31.25</v>
      </c>
      <c r="E186" s="238">
        <f t="shared" si="37"/>
        <v>2114.583333</v>
      </c>
      <c r="F186" s="35">
        <f t="shared" si="38"/>
        <v>4166.666667</v>
      </c>
      <c r="H186" s="229"/>
      <c r="I186" s="248" t="s">
        <v>172</v>
      </c>
    </row>
    <row r="187" ht="15.0" customHeight="1">
      <c r="A187" s="7"/>
      <c r="B187" s="13" t="s">
        <v>37</v>
      </c>
      <c r="C187" s="238">
        <f>C6</f>
        <v>2083.333333</v>
      </c>
      <c r="D187" s="245">
        <f>F186*D176</f>
        <v>20.83333333</v>
      </c>
      <c r="E187" s="238">
        <f t="shared" si="37"/>
        <v>2104.166667</v>
      </c>
      <c r="F187" s="35">
        <f t="shared" si="38"/>
        <v>2083.333333</v>
      </c>
      <c r="H187" s="229"/>
      <c r="I187" s="248" t="s">
        <v>99</v>
      </c>
      <c r="K187" s="249"/>
      <c r="L187" s="35"/>
    </row>
    <row r="188" ht="15.0" customHeight="1">
      <c r="A188" s="7"/>
      <c r="B188" s="13" t="s">
        <v>39</v>
      </c>
      <c r="C188" s="238">
        <f>F187</f>
        <v>2083.333333</v>
      </c>
      <c r="D188" s="245">
        <f>F187*D176</f>
        <v>10.41666667</v>
      </c>
      <c r="E188" s="238">
        <f t="shared" si="37"/>
        <v>2093.75</v>
      </c>
      <c r="F188" s="250">
        <f t="shared" si="38"/>
        <v>0</v>
      </c>
      <c r="H188" s="229"/>
      <c r="I188" s="19">
        <f>I17</f>
        <v>30000</v>
      </c>
      <c r="K188" s="43"/>
      <c r="L188" s="35"/>
    </row>
    <row r="189" ht="14.25" customHeight="1">
      <c r="C189" s="240"/>
      <c r="H189" s="229"/>
      <c r="K189" s="249"/>
      <c r="L189" s="43"/>
    </row>
    <row r="190" ht="18.75" customHeight="1">
      <c r="B190" s="193" t="s">
        <v>159</v>
      </c>
      <c r="C190" s="238">
        <f t="shared" ref="C190:E190" si="39">SUM(C177:C189)</f>
        <v>25000</v>
      </c>
      <c r="D190" s="238">
        <f t="shared" si="39"/>
        <v>812.5</v>
      </c>
      <c r="E190" s="251">
        <f t="shared" si="39"/>
        <v>25812.5</v>
      </c>
      <c r="F190" s="252">
        <f>E190/I19</f>
        <v>0.32265625</v>
      </c>
      <c r="G190" s="253" t="s">
        <v>173</v>
      </c>
      <c r="H190" s="229"/>
      <c r="I190" s="33">
        <f>I19</f>
        <v>80000</v>
      </c>
      <c r="K190" s="193" t="s">
        <v>174</v>
      </c>
      <c r="L190" s="255">
        <f>L182/K177</f>
        <v>0.32265625</v>
      </c>
    </row>
    <row r="191" ht="15.0" customHeight="1">
      <c r="H191" s="229"/>
      <c r="I191" s="233" t="s">
        <v>175</v>
      </c>
      <c r="K191" s="193" t="s">
        <v>176</v>
      </c>
      <c r="L191" s="246"/>
    </row>
    <row r="192" ht="14.25" customHeight="1">
      <c r="A192" s="229"/>
      <c r="B192" s="229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</row>
    <row r="193" ht="14.25" customHeight="1">
      <c r="A193" s="11" t="s">
        <v>177</v>
      </c>
      <c r="D193" s="259" t="s">
        <v>96</v>
      </c>
      <c r="E193" s="260">
        <f>E19+E38+E57+E76+E95+E114+E133+E152+E171+E190</f>
        <v>325625</v>
      </c>
      <c r="H193" s="229"/>
      <c r="I193" s="261" t="s">
        <v>178</v>
      </c>
      <c r="J193" s="9"/>
      <c r="K193" s="9"/>
      <c r="L193" s="10"/>
    </row>
    <row r="194" ht="14.25" customHeight="1">
      <c r="A194" s="262"/>
      <c r="B194" s="262"/>
      <c r="C194" s="262"/>
      <c r="D194" s="263"/>
      <c r="H194" s="229"/>
    </row>
    <row r="195" ht="18.75" customHeight="1">
      <c r="A195" s="11" t="s">
        <v>179</v>
      </c>
      <c r="D195" s="12" t="s">
        <v>62</v>
      </c>
      <c r="E195" s="22">
        <f>I19*10</f>
        <v>800000</v>
      </c>
      <c r="H195" s="229"/>
      <c r="J195" s="11" t="s">
        <v>62</v>
      </c>
      <c r="K195" s="11" t="s">
        <v>161</v>
      </c>
      <c r="L195" s="11" t="s">
        <v>162</v>
      </c>
    </row>
    <row r="196" ht="18.75" customHeight="1">
      <c r="A196" s="262"/>
      <c r="B196" s="262"/>
      <c r="C196" s="262"/>
      <c r="D196" s="263"/>
      <c r="H196" s="229"/>
      <c r="J196" s="232" t="s">
        <v>96</v>
      </c>
      <c r="K196" s="233" t="s">
        <v>62</v>
      </c>
      <c r="L196" s="234" t="s">
        <v>96</v>
      </c>
    </row>
    <row r="197" ht="14.25" customHeight="1">
      <c r="A197" s="264" t="s">
        <v>180</v>
      </c>
      <c r="D197" s="259" t="s">
        <v>96</v>
      </c>
      <c r="E197" s="265">
        <f>E193/E195</f>
        <v>0.40703125</v>
      </c>
      <c r="H197" s="229"/>
      <c r="J197" s="35"/>
    </row>
    <row r="198" ht="14.25" customHeight="1">
      <c r="H198" s="229"/>
      <c r="J198" s="258">
        <v>0.5</v>
      </c>
      <c r="K198" s="19">
        <v>80000.0</v>
      </c>
      <c r="L198" s="238">
        <f>J198*K198</f>
        <v>40000</v>
      </c>
    </row>
    <row r="199" ht="14.25" customHeight="1">
      <c r="H199" s="229"/>
      <c r="J199" s="240"/>
    </row>
    <row r="200" ht="14.25" customHeight="1">
      <c r="H200" s="229"/>
      <c r="L200" s="241" t="s">
        <v>104</v>
      </c>
    </row>
    <row r="201" ht="14.25" customHeight="1">
      <c r="H201" s="229"/>
      <c r="K201" s="193" t="s">
        <v>169</v>
      </c>
      <c r="L201" s="238">
        <v>2000.0</v>
      </c>
    </row>
    <row r="202" ht="14.25" customHeight="1">
      <c r="H202" s="229"/>
    </row>
    <row r="203" ht="14.25" customHeight="1">
      <c r="H203" s="229"/>
      <c r="L203" s="247">
        <f>L198-L201</f>
        <v>38000</v>
      </c>
    </row>
    <row r="204" ht="14.25" customHeight="1">
      <c r="H204" s="229"/>
      <c r="L204" s="246"/>
    </row>
    <row r="205" ht="14.25" customHeight="1"/>
    <row r="206" ht="14.25" customHeight="1">
      <c r="I206" s="266" t="s">
        <v>181</v>
      </c>
      <c r="J206" s="267"/>
      <c r="K206" s="268"/>
      <c r="L206" s="269">
        <f>L201/K198</f>
        <v>0.025</v>
      </c>
    </row>
    <row r="207" ht="14.25" customHeight="1">
      <c r="I207" s="270" t="s">
        <v>182</v>
      </c>
      <c r="J207" s="271"/>
      <c r="K207" s="272"/>
      <c r="L207" s="246"/>
    </row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>
      <c r="L213" s="240">
        <f>L19+L38+L57+L76+L95+L114+L133+L152+L171+L190</f>
        <v>4.0703125</v>
      </c>
    </row>
    <row r="214" ht="14.25" customHeight="1">
      <c r="L214" s="35">
        <v>10.0</v>
      </c>
    </row>
    <row r="215" ht="14.25" customHeight="1">
      <c r="L215" s="240"/>
    </row>
    <row r="216" ht="14.25" customHeight="1">
      <c r="I216" s="266" t="s">
        <v>183</v>
      </c>
      <c r="J216" s="267"/>
      <c r="K216" s="268"/>
      <c r="L216" s="273">
        <f>L213/L214</f>
        <v>0.40703125</v>
      </c>
    </row>
    <row r="217" ht="14.25" customHeight="1">
      <c r="I217" s="270" t="s">
        <v>184</v>
      </c>
      <c r="J217" s="271"/>
      <c r="K217" s="272"/>
      <c r="L217" s="246"/>
    </row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L19:L20"/>
    <mergeCell ref="L32:L33"/>
    <mergeCell ref="L38:L39"/>
    <mergeCell ref="B1:C1"/>
    <mergeCell ref="D1:F1"/>
    <mergeCell ref="J1:L1"/>
    <mergeCell ref="A4:B4"/>
    <mergeCell ref="A10:A13"/>
    <mergeCell ref="A29:A32"/>
    <mergeCell ref="A48:A51"/>
    <mergeCell ref="A124:A127"/>
    <mergeCell ref="A143:A146"/>
    <mergeCell ref="A162:A165"/>
    <mergeCell ref="A181:A184"/>
    <mergeCell ref="A193:C193"/>
    <mergeCell ref="A195:C195"/>
    <mergeCell ref="A197:C197"/>
    <mergeCell ref="A67:A70"/>
    <mergeCell ref="L70:L71"/>
    <mergeCell ref="A86:A89"/>
    <mergeCell ref="L89:L90"/>
    <mergeCell ref="A105:A108"/>
    <mergeCell ref="L108:L109"/>
    <mergeCell ref="L127:L128"/>
    <mergeCell ref="L13:L14"/>
    <mergeCell ref="L51:L52"/>
    <mergeCell ref="L57:L58"/>
    <mergeCell ref="L76:L77"/>
    <mergeCell ref="L95:L96"/>
    <mergeCell ref="L114:L115"/>
    <mergeCell ref="L133:L134"/>
    <mergeCell ref="L203:L204"/>
    <mergeCell ref="I206:K206"/>
    <mergeCell ref="L206:L207"/>
    <mergeCell ref="I207:K207"/>
    <mergeCell ref="I216:K216"/>
    <mergeCell ref="L216:L217"/>
    <mergeCell ref="I217:K217"/>
    <mergeCell ref="L146:L147"/>
    <mergeCell ref="L152:L153"/>
    <mergeCell ref="L165:L166"/>
    <mergeCell ref="L171:L172"/>
    <mergeCell ref="L184:L185"/>
    <mergeCell ref="L190:L191"/>
    <mergeCell ref="I193:L193"/>
  </mergeCells>
  <printOptions/>
  <pageMargins bottom="0.75" footer="0.0" header="0.0" left="0.7" right="0.7" top="0.75"/>
  <pageSetup orientation="landscape"/>
  <drawing r:id="rId1"/>
</worksheet>
</file>